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uFIKm3J0JbAKA5lNIw/kpoO+q/QLtcG0F3GJytHfISjJ2dgFoN/+UqopfQFuZOkQJFNdR8N3MsgOGWDTHPElGA==" workbookSaltValue="WD+gI89I7g96CNz+6ald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B9" i="6"/>
  <c r="AT18" i="17"/>
  <c r="N10" i="11"/>
  <c r="N9" i="11"/>
  <c r="T10" i="21"/>
  <c r="F10" i="10"/>
  <c r="N11" i="11"/>
  <c r="ES19" i="8"/>
  <c r="C18" i="7"/>
  <c r="S19" i="13"/>
  <c r="AG19" i="19"/>
  <c r="R8" i="9"/>
  <c r="AP16" i="20" s="1"/>
  <c r="CI19" i="8"/>
  <c r="AE19" i="8"/>
  <c r="EP19" i="8"/>
  <c r="ER19" i="13"/>
  <c r="AL13" i="16"/>
  <c r="BH9" i="16"/>
  <c r="BH15" i="16"/>
  <c r="BF16" i="11"/>
  <c r="S13" i="16"/>
  <c r="H18" i="16"/>
  <c r="P13" i="16"/>
  <c r="AN13" i="20"/>
  <c r="F15" i="17"/>
  <c r="N13" i="2"/>
  <c r="T19" i="8"/>
  <c r="AJ19" i="8"/>
  <c r="T13" i="12"/>
  <c r="S9" i="17"/>
  <c r="S9" i="14"/>
  <c r="V9" i="14" s="1"/>
  <c r="BI17" i="11"/>
  <c r="BM15" i="11"/>
  <c r="BW9" i="20"/>
  <c r="BV15" i="16"/>
  <c r="BU17" i="17"/>
  <c r="AZ12" i="11"/>
  <c r="S15" i="16"/>
  <c r="BL10" i="11"/>
  <c r="BF15" i="11"/>
  <c r="BL16" i="11"/>
  <c r="AY18" i="8"/>
  <c r="AY13" i="8"/>
  <c r="BE9"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S19" i="8" l="1"/>
  <c r="AM19" i="8"/>
  <c r="Y19" i="8"/>
  <c r="AW18" i="21"/>
  <c r="Z19" i="8"/>
  <c r="Z13" i="17"/>
  <c r="AC10" i="11"/>
  <c r="H13" i="12"/>
  <c r="AL10" i="11"/>
  <c r="B12" i="6"/>
  <c r="C11" i="6"/>
  <c r="L12" i="14"/>
  <c r="B17" i="6"/>
  <c r="AO16" i="11"/>
  <c r="C17" i="6"/>
  <c r="M13" i="2"/>
  <c r="M18" i="2"/>
  <c r="N18" i="2"/>
  <c r="AO9" i="11"/>
  <c r="F9" i="2"/>
  <c r="E11" i="6"/>
  <c r="AL11" i="11"/>
  <c r="H12" i="2"/>
  <c r="BE12" i="13"/>
  <c r="L16" i="2"/>
  <c r="BA13" i="8"/>
  <c r="AQ12" i="21"/>
  <c r="Q15" i="17"/>
  <c r="BF12" i="11"/>
  <c r="T15" i="11"/>
  <c r="BV9" i="16"/>
  <c r="BU9" i="17"/>
  <c r="BV16" i="16"/>
  <c r="BV18" i="16" s="1"/>
  <c r="T15" i="16"/>
  <c r="BL11" i="11"/>
  <c r="BJ11" i="11"/>
  <c r="BI10" i="11"/>
  <c r="X11" i="17"/>
  <c r="BL12" i="11"/>
  <c r="V11" i="16"/>
  <c r="BJ17" i="11"/>
  <c r="D11" i="12"/>
  <c r="BF11" i="8"/>
  <c r="BF9" i="8"/>
  <c r="BG9" i="8"/>
  <c r="K9" i="7" s="1"/>
  <c r="BD11" i="8"/>
  <c r="BE11" i="8"/>
  <c r="I11" i="7" s="1"/>
  <c r="BG12" i="8"/>
  <c r="K12" i="7" s="1"/>
  <c r="BE12" i="8"/>
  <c r="I12" i="7" s="1"/>
  <c r="BD15" i="8"/>
  <c r="H15" i="7" s="1"/>
  <c r="BE15" i="8"/>
  <c r="BG16" i="8"/>
  <c r="K16" i="7" s="1"/>
  <c r="C10" i="6"/>
  <c r="L11" i="14"/>
  <c r="E18" i="2"/>
  <c r="AO17" i="11"/>
  <c r="AL15" i="11"/>
  <c r="L16" i="14"/>
  <c r="F15" i="11"/>
  <c r="AQ15" i="11" s="1"/>
  <c r="BG15" i="8"/>
  <c r="AZ18" i="13"/>
  <c r="AZ19" i="13" s="1"/>
  <c r="H15" i="2"/>
  <c r="E15" i="6"/>
  <c r="B16" i="6"/>
  <c r="D12" i="12"/>
  <c r="F12" i="11"/>
  <c r="AQ12" i="11" s="1"/>
  <c r="E9" i="6"/>
  <c r="K9" i="12" s="1"/>
  <c r="BD12" i="8"/>
  <c r="H12" i="7" s="1"/>
  <c r="AO12" i="11"/>
  <c r="AY13" i="13"/>
  <c r="BE9" i="13"/>
  <c r="BB13" i="13"/>
  <c r="V9" i="16"/>
  <c r="L15" i="2"/>
  <c r="L10" i="2"/>
  <c r="BJ16" i="11"/>
  <c r="BJ18" i="11" s="1"/>
  <c r="BH16" i="11"/>
  <c r="BM17" i="11"/>
  <c r="BH10" i="16"/>
  <c r="BL15" i="11"/>
  <c r="P15" i="11" s="1"/>
  <c r="P15" i="17"/>
  <c r="X17" i="17"/>
  <c r="R10" i="14"/>
  <c r="AZ16" i="11"/>
  <c r="BU16" i="17"/>
  <c r="BV10" i="16"/>
  <c r="BW15" i="20"/>
  <c r="BW16" i="20"/>
  <c r="BW17" i="20"/>
  <c r="BU15" i="17"/>
  <c r="T17" i="16"/>
  <c r="T18" i="16" s="1"/>
  <c r="T19" i="16" s="1"/>
  <c r="BH17" i="11"/>
  <c r="BG9" i="11"/>
  <c r="R10" i="21"/>
  <c r="R13" i="21" s="1"/>
  <c r="R19" i="21" s="1"/>
  <c r="BI15" i="11"/>
  <c r="Q10" i="21"/>
  <c r="Q13" i="21" s="1"/>
  <c r="Q19" i="21" s="1"/>
  <c r="V11" i="11"/>
  <c r="BK15" i="11"/>
  <c r="S17" i="16"/>
  <c r="BF17" i="11"/>
  <c r="Q17" i="20"/>
  <c r="Q18" i="20" s="1"/>
  <c r="BH15" i="11"/>
  <c r="BH18" i="11" s="1"/>
  <c r="V15" i="11"/>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Q18" i="17" s="1"/>
  <c r="Q19" i="17" s="1"/>
  <c r="BH10" i="11"/>
  <c r="BI9" i="11"/>
  <c r="AQ10" i="21"/>
  <c r="BJ10" i="11"/>
  <c r="BK16" i="11"/>
  <c r="BK18" i="11" s="1"/>
  <c r="BH11" i="11"/>
  <c r="BG16" i="11"/>
  <c r="P16" i="11" s="1"/>
  <c r="S17" i="17"/>
  <c r="BM9" i="11"/>
  <c r="BH12" i="16"/>
  <c r="BK10" i="11"/>
  <c r="X12" i="17"/>
  <c r="L12" i="2"/>
  <c r="U9" i="17"/>
  <c r="U19" i="17" s="1"/>
  <c r="S10" i="14"/>
  <c r="V10" i="14" s="1"/>
  <c r="S17" i="14"/>
  <c r="V17" i="14" s="1"/>
  <c r="R11" i="14"/>
  <c r="R17" i="14"/>
  <c r="R18" i="14" s="1"/>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BV13" i="16"/>
  <c r="AS16"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G19" i="7"/>
  <c r="I17" i="12"/>
  <c r="P12" i="11"/>
  <c r="B19" i="7"/>
  <c r="K12" i="12"/>
  <c r="F19" i="7"/>
  <c r="BF13" i="8"/>
  <c r="BE13" i="8"/>
  <c r="I10" i="12"/>
  <c r="H13" i="2"/>
  <c r="I15" i="12"/>
  <c r="BE13" i="13"/>
  <c r="I11" i="12"/>
  <c r="BH13" i="11"/>
  <c r="BD18" i="13"/>
  <c r="BL18" i="11"/>
  <c r="V19" i="20"/>
  <c r="Y13" i="11"/>
  <c r="B18" i="6"/>
  <c r="Q10" i="11"/>
  <c r="BU21" i="17"/>
  <c r="K15" i="12"/>
  <c r="F18" i="20"/>
  <c r="F21" i="20" s="1"/>
  <c r="AL18" i="11"/>
  <c r="C18" i="6"/>
  <c r="BB19" i="13"/>
  <c r="BF13" i="13"/>
  <c r="G21" i="11"/>
  <c r="AM13" i="11"/>
  <c r="S18" i="14"/>
  <c r="U13" i="17"/>
  <c r="R19" i="20"/>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<sst xmlns="http://schemas.openxmlformats.org/spreadsheetml/2006/main" count="2102" uniqueCount="918">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</sst>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SYKwvXpbpY1eeAoQdEWQacnIO1gLTMOGjRSGrrPrzWGbCY2dQiF+QCIsClRvfwmCkyDMxbL044UnpAAFgHi0g==" saltValue="u/jqcfRjCE0AjbulpUi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20</v>
      </c>
      <c r="F10" s="225">
        <f>IF(ISNUMBER(Datos!K10),Datos!K10," - ")</f>
        <v>5</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1.0714285714285714</v>
      </c>
      <c r="L10" s="1024">
        <f>IF(ISNUMBER(NºAsuntos!I10/NºAsuntos!G10),(NºAsuntos!I10/NºAsuntos!G10)*11," - ")</f>
        <v>63.8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29.788113695090441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20</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1224</v>
      </c>
      <c r="D16" s="224">
        <f>IF(ISNUMBER(IF(D_I="SI",Datos!I16,Datos!I16+Datos!AC16)),IF(D_I="SI",Datos!I16,Datos!I16+Datos!AC16)," - ")</f>
        <v>1222</v>
      </c>
      <c r="E16" s="225">
        <f>IF(ISNUMBER(IF(D_I="SI",Datos!J16,Datos!J16+Datos!AD16)),IF(D_I="SI",Datos!J16,Datos!J16+Datos!AD16)," - ")</f>
        <v>2936</v>
      </c>
      <c r="F16" s="225">
        <f>IF(ISNUMBER(IF(D_I="SI",Datos!K16,Datos!K16+Datos!AE16)),IF(D_I="SI",Datos!K16,Datos!K16+Datos!AE16)," - ")</f>
        <v>2739</v>
      </c>
      <c r="G16" s="1033" t="str">
        <f>IF(Datos!E16&lt;&gt;"",Datos!E16,Datos!D16)</f>
        <v>04</v>
      </c>
      <c r="H16" s="226">
        <f>IF(ISNUMBER(IF(D_I="SI",Datos!L16,Datos!L16+Datos!AF16)),IF(D_I="SI",Datos!L16,Datos!L16+Datos!AF16)," - ")</f>
        <v>1421</v>
      </c>
      <c r="I16" s="1043" t="str">
        <f>IF(ISNUMBER(Datos!AS16/Datos!BM16),Datos!AS16/Datos!BM16," - ")</f>
        <v xml:space="preserve"> - </v>
      </c>
      <c r="J16" s="1044">
        <f>IF(ISNUMBER(Datos!BY16/Datos!CN16),Datos!BY16/Datos!CN16," - ")</f>
        <v>0</v>
      </c>
      <c r="K16" s="229">
        <f t="shared" si="3"/>
        <v>0.16094771241830066</v>
      </c>
      <c r="L16" s="1024">
        <f>IF(ISNUMBER(NºAsuntos!I16/NºAsuntos!G16),(NºAsuntos!I16/NºAsuntos!G16)*11," - ")</f>
        <v>5.7068273092369477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72</v>
      </c>
      <c r="D17" s="224">
        <f>IF(ISNUMBER(IF(D_I="SI",Datos!I17,Datos!I17+Datos!AC17)),IF(D_I="SI",Datos!I17,Datos!I17+Datos!AC17)," - ")</f>
        <v>42</v>
      </c>
      <c r="E17" s="225">
        <f>IF(ISNUMBER(IF(D_I="SI",Datos!J17,Datos!J17+Datos!AD17)),IF(D_I="SI",Datos!J17,Datos!J17+Datos!AD17)," - ")</f>
        <v>206</v>
      </c>
      <c r="F17" s="225">
        <f>IF(ISNUMBER(IF(D_I="SI",Datos!K17,Datos!K17+Datos!AE17)),IF(D_I="SI",Datos!K17,Datos!K17+Datos!AE17)," - ")</f>
        <v>184</v>
      </c>
      <c r="G17" s="1033" t="str">
        <f>IF(Datos!E17&lt;&gt;"",Datos!E17,Datos!D17)</f>
        <v>37</v>
      </c>
      <c r="H17" s="226">
        <f>IF(ISNUMBER(IF(D_I="SI",Datos!L17,Datos!L17+Datos!AF17)),IF(D_I="SI",Datos!L17,Datos!L17+Datos!AF17)," - ")</f>
        <v>94</v>
      </c>
      <c r="I17" s="1043" t="str">
        <f>IF(ISNUMBER(Datos!AS17/Datos!BM17),Datos!AS17/Datos!BM17," - ")</f>
        <v xml:space="preserve"> - </v>
      </c>
      <c r="J17" s="1044" t="str">
        <f>IF(ISNUMBER((Datos!BY17+Datos!BZ17)/Datos!CN17),(Datos!BY17+Datos!BZ17)/Datos!CN17," - ")</f>
        <v xml:space="preserve"> - </v>
      </c>
      <c r="K17" s="229">
        <f t="shared" si="3"/>
        <v>0.30555555555555558</v>
      </c>
      <c r="L17" s="1024">
        <f>IF(ISNUMBER(NºAsuntos!I17/NºAsuntos!G17),(NºAsuntos!I17/NºAsuntos!G17)*11," - ")</f>
        <v>5.6195652173913047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1296</v>
      </c>
      <c r="D18" s="1048">
        <f>SUBTOTAL(9,D15:D17)</f>
        <v>1264</v>
      </c>
      <c r="E18" s="1049">
        <f>SUBTOTAL(9,E15:E17)</f>
        <v>3142</v>
      </c>
      <c r="F18" s="1049">
        <f>SUBTOTAL(9,F15:F17)</f>
        <v>2923</v>
      </c>
      <c r="G18" s="1051" t="str">
        <f ca="1">INDIRECT(CONCATENATE("G",ROW()-1))</f>
        <v>37</v>
      </c>
      <c r="H18" s="1052">
        <f ca="1">SUMIF(G$14:G17,G18,H$14:H17)</f>
        <v>94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1310</v>
      </c>
      <c r="D19" s="1070">
        <f>SUBTOTAL(9,D9:D18)</f>
        <v>1278</v>
      </c>
      <c r="E19" s="1071">
        <f>SUBTOTAL(9,E9:E18)</f>
        <v>3162</v>
      </c>
      <c r="F19" s="1071">
        <f>SUBTOTAL(9,F9:F18)</f>
        <v>2928</v>
      </c>
      <c r="G19" s="1072"/>
      <c r="H19" s="1073">
        <f ca="1">SUMIF(B9:B18,"TOTAL",H9:H18)</f>
        <v>94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IawRzcAsPT0O7ByrRcfxbfQ6hfNs3gzyINJK/v/FnXosobi95TUh4rwYf++DvAfNoBmhX7VVIO6/wUVVQUbuw==" saltValue="y+dtdcM33O+j2ZSxecdBJ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YQ0zPXKx/4c5+EMlWbz/WcY2aWy9jgkvxlWdatZM3LAEa53CNvh0jRNPck6FyjGLYaVGMFGzdniAuWXUiRddg==" saltValue="Asqq0xK8tjl6CGlZcGd1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20</v>
      </c>
      <c r="K10" s="180">
        <v>5</v>
      </c>
      <c r="L10" s="180">
        <v>29</v>
      </c>
      <c r="M10" s="180">
        <v>3</v>
      </c>
      <c r="N10" s="180">
        <v>1</v>
      </c>
      <c r="O10" s="180">
        <v>0</v>
      </c>
      <c r="P10" s="180">
        <v>1</v>
      </c>
      <c r="Q10" s="180">
        <v>0</v>
      </c>
      <c r="R10" s="180">
        <v>1</v>
      </c>
      <c r="S10" s="180">
        <v>12</v>
      </c>
      <c r="T10" s="180">
        <v>14</v>
      </c>
      <c r="U10" s="180">
        <v>12</v>
      </c>
      <c r="V10" s="180">
        <v>14</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v>
      </c>
      <c r="AZ10" s="129">
        <f t="shared" si="0"/>
        <v>14</v>
      </c>
      <c r="BA10" s="129">
        <f t="shared" si="0"/>
        <v>12</v>
      </c>
      <c r="BB10" s="129">
        <f t="shared" si="0"/>
        <v>14</v>
      </c>
      <c r="BC10" s="125">
        <f t="shared" si="0"/>
        <v>5</v>
      </c>
      <c r="BD10" s="126">
        <f>IF(ISNUMBER(BA10/AZ10),BA10/AZ10," - ")</f>
        <v>0.8571428571428571</v>
      </c>
      <c r="BE10" s="127">
        <f>IF(ISNUMBER(BB10/BA10),BB10/BA10, " - ")</f>
        <v>1.1666666666666667</v>
      </c>
      <c r="BF10" s="127">
        <f>IF(ISNUMBER(BC10/BA10),BC10/BA10, " - ")</f>
        <v>0.41666666666666669</v>
      </c>
      <c r="BG10" s="195">
        <f>IF(ISNUMBER((AY10+AZ10)/BA10),(AY10+AZ10)/BA10," - ")</f>
        <v>2.1666666666666665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2251</v>
      </c>
      <c r="J12" s="182">
        <v>1755</v>
      </c>
      <c r="K12" s="182">
        <v>1102</v>
      </c>
      <c r="L12" s="182">
        <v>2904</v>
      </c>
      <c r="M12" s="182">
        <v>232</v>
      </c>
      <c r="N12" s="182">
        <v>389</v>
      </c>
      <c r="O12" s="180">
        <v>399</v>
      </c>
      <c r="P12" s="182">
        <v>272</v>
      </c>
      <c r="Q12" s="182">
        <v>177</v>
      </c>
      <c r="R12" s="182">
        <v>1829</v>
      </c>
      <c r="S12" s="182">
        <v>1796</v>
      </c>
      <c r="T12" s="182">
        <v>1792</v>
      </c>
      <c r="U12" s="182">
        <v>1430</v>
      </c>
      <c r="V12" s="182">
        <v>2251</v>
      </c>
      <c r="W12" s="182">
        <v>233</v>
      </c>
      <c r="X12" s="188">
        <v>537</v>
      </c>
      <c r="Y12" s="190">
        <v>185</v>
      </c>
      <c r="Z12" s="180">
        <v>114</v>
      </c>
      <c r="AA12" s="180">
        <v>59</v>
      </c>
      <c r="AB12" s="180">
        <v>240</v>
      </c>
      <c r="AC12" s="182">
        <v>0</v>
      </c>
      <c r="AD12" s="182">
        <v>0</v>
      </c>
      <c r="AE12" s="182">
        <v>0</v>
      </c>
      <c r="AF12" s="188">
        <v>0</v>
      </c>
      <c r="AG12" s="201">
        <v>158</v>
      </c>
      <c r="AH12" s="182">
        <v>145</v>
      </c>
      <c r="AI12" s="182">
        <v>107</v>
      </c>
      <c r="AJ12" s="202">
        <v>185</v>
      </c>
      <c r="AK12" s="181">
        <v>0</v>
      </c>
      <c r="AL12" s="182">
        <v>0</v>
      </c>
      <c r="AM12" s="182">
        <v>0</v>
      </c>
      <c r="AN12" s="188">
        <v>0</v>
      </c>
      <c r="AO12" s="258">
        <v>2</v>
      </c>
      <c r="AP12" s="154">
        <v>2</v>
      </c>
      <c r="AQ12" s="154">
        <v>2</v>
      </c>
      <c r="AR12" s="153">
        <v>2</v>
      </c>
      <c r="AS12" s="339" t="s">
        <v>794</v>
      </c>
      <c r="AT12" s="202"/>
      <c r="AU12" s="201"/>
      <c r="AV12" s="202"/>
      <c r="AW12" s="201"/>
      <c r="AX12" s="202"/>
      <c r="AY12" s="126">
        <f t="shared" si="1"/>
        <v>1954</v>
      </c>
      <c r="AZ12" s="127">
        <f t="shared" si="1"/>
        <v>1937</v>
      </c>
      <c r="BA12" s="127">
        <f t="shared" si="1"/>
        <v>1537</v>
      </c>
      <c r="BB12" s="127">
        <f t="shared" si="1"/>
        <v>2436</v>
      </c>
      <c r="BC12" s="125">
        <f>IF(ISNUMBER(X12),X12," - ")</f>
        <v>537</v>
      </c>
      <c r="BD12" s="126">
        <f t="shared" si="2"/>
        <v>0.79349509550851838</v>
      </c>
      <c r="BE12" s="127">
        <f t="shared" si="3"/>
        <v>1.5849056603773586</v>
      </c>
      <c r="BF12" s="127">
        <f t="shared" si="4"/>
        <v>0.34938191281717634</v>
      </c>
      <c r="BG12" s="195">
        <f t="shared" si="5"/>
        <v>2.531554977228367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2265</v>
      </c>
      <c r="J13" s="183">
        <f t="shared" si="6"/>
        <v>1775</v>
      </c>
      <c r="K13" s="183">
        <f t="shared" si="6"/>
        <v>1107</v>
      </c>
      <c r="L13" s="183">
        <f t="shared" si="6"/>
        <v>2933</v>
      </c>
      <c r="M13" s="183">
        <f t="shared" si="6"/>
        <v>235</v>
      </c>
      <c r="N13" s="183">
        <f t="shared" si="6"/>
        <v>390</v>
      </c>
      <c r="O13" s="183">
        <f t="shared" si="6"/>
        <v>399</v>
      </c>
      <c r="P13" s="183">
        <f t="shared" si="6"/>
        <v>273</v>
      </c>
      <c r="Q13" s="183">
        <f t="shared" si="6"/>
        <v>177</v>
      </c>
      <c r="R13" s="183">
        <f t="shared" si="6"/>
        <v>1830</v>
      </c>
      <c r="S13" s="183">
        <f t="shared" si="6"/>
        <v>1808</v>
      </c>
      <c r="T13" s="183">
        <f t="shared" si="6"/>
        <v>1806</v>
      </c>
      <c r="U13" s="183">
        <f t="shared" si="6"/>
        <v>1442</v>
      </c>
      <c r="V13" s="183">
        <f t="shared" si="6"/>
        <v>2265</v>
      </c>
      <c r="W13" s="183">
        <f t="shared" si="6"/>
        <v>238</v>
      </c>
      <c r="X13" s="183">
        <f t="shared" si="6"/>
        <v>537</v>
      </c>
      <c r="Y13" s="183">
        <f t="shared" si="6"/>
        <v>185</v>
      </c>
      <c r="Z13" s="183">
        <f t="shared" si="6"/>
        <v>114</v>
      </c>
      <c r="AA13" s="183">
        <f t="shared" si="6"/>
        <v>59</v>
      </c>
      <c r="AB13" s="183">
        <f t="shared" si="6"/>
        <v>240</v>
      </c>
      <c r="AC13" s="183">
        <f t="shared" si="6"/>
        <v>0</v>
      </c>
      <c r="AD13" s="183">
        <f t="shared" si="6"/>
        <v>0</v>
      </c>
      <c r="AE13" s="183">
        <f t="shared" si="6"/>
        <v>0</v>
      </c>
      <c r="AF13" s="183">
        <f>SUBTOTAL(9,AF9:AF12)</f>
        <v>0</v>
      </c>
      <c r="AG13" s="183">
        <f t="shared" ref="AG13:AT13" si="7">SUBTOTAL(9,AG8:AG12)</f>
        <v>158</v>
      </c>
      <c r="AH13" s="183">
        <f t="shared" si="7"/>
        <v>145</v>
      </c>
      <c r="AI13" s="183">
        <f t="shared" si="7"/>
        <v>107</v>
      </c>
      <c r="AJ13" s="183">
        <f t="shared" si="7"/>
        <v>185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1966</v>
      </c>
      <c r="AZ13" s="183">
        <f>SUBTOTAL(9,AZ8:AZ12)</f>
        <v>1951</v>
      </c>
      <c r="BA13" s="183">
        <f>SUBTOTAL(9,BA8:BA12)</f>
        <v>1549</v>
      </c>
      <c r="BB13" s="183">
        <f>SUBTOTAL(9,BB8:BB12)</f>
        <v>2450</v>
      </c>
      <c r="BC13" s="183">
        <f>SUBTOTAL(9,BC8:BC12)</f>
        <v>542</v>
      </c>
      <c r="BD13" s="204">
        <f>IF(ISNUMBER(BA13/AZ13),BA13/AZ13," - ")</f>
        <v>0.79395181957970273</v>
      </c>
      <c r="BE13" s="205">
        <f>IF(ISNUMBER(BB13/BA13),BB13/BA13, " - ")</f>
        <v>1.5816655907036798</v>
      </c>
      <c r="BF13" s="205">
        <f>IF(ISNUMBER(BC13/BA13),BC13/BA13, " - ")</f>
        <v>0.34990316333118143</v>
      </c>
      <c r="BG13" s="206">
        <f>IF(ISNUMBER((AY13+AZ13)/BA13),(AY13+AZ13)/BA13," - ")</f>
        <v>2.5287282117495158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1222</v>
      </c>
      <c r="J16" s="182">
        <v>2936</v>
      </c>
      <c r="K16" s="182">
        <v>2739</v>
      </c>
      <c r="L16" s="182">
        <v>1421</v>
      </c>
      <c r="M16" s="182">
        <v>238</v>
      </c>
      <c r="N16" s="182">
        <v>1912</v>
      </c>
      <c r="O16" s="180">
        <v>8</v>
      </c>
      <c r="P16" s="182">
        <v>54</v>
      </c>
      <c r="Q16" s="182">
        <v>16</v>
      </c>
      <c r="R16" s="182">
        <v>142</v>
      </c>
      <c r="S16" s="182">
        <v>996</v>
      </c>
      <c r="T16" s="182">
        <v>2839</v>
      </c>
      <c r="U16" s="182">
        <v>2568</v>
      </c>
      <c r="V16" s="182">
        <v>1222</v>
      </c>
      <c r="W16" s="182">
        <v>320</v>
      </c>
      <c r="X16" s="188">
        <v>1669</v>
      </c>
      <c r="Y16" s="201">
        <v>0</v>
      </c>
      <c r="Z16" s="182">
        <v>0</v>
      </c>
      <c r="AA16" s="182">
        <v>0</v>
      </c>
      <c r="AB16" s="182">
        <v>0</v>
      </c>
      <c r="AC16" s="182">
        <v>0</v>
      </c>
      <c r="AD16" s="182">
        <v>15</v>
      </c>
      <c r="AE16" s="182">
        <v>7</v>
      </c>
      <c r="AF16" s="188">
        <v>8</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996</v>
      </c>
      <c r="AZ16" s="127">
        <f t="shared" si="9"/>
        <v>2839</v>
      </c>
      <c r="BA16" s="127">
        <f t="shared" si="9"/>
        <v>2568</v>
      </c>
      <c r="BB16" s="127">
        <f t="shared" si="9"/>
        <v>1222</v>
      </c>
      <c r="BC16" s="125">
        <f>IF(ISNUMBER(W16),W16," - ")</f>
        <v>320</v>
      </c>
      <c r="BD16" s="126">
        <f t="shared" ref="BD16" si="11">IF(ISNUMBER(BA16/AZ16),BA16/AZ16," - ")</f>
        <v>0.90454385346953148</v>
      </c>
      <c r="BE16" s="127">
        <f t="shared" ref="BE16" si="12">IF(ISNUMBER(BB16/BA16),BB16/BA16, " - ")</f>
        <v>0.47585669781931467</v>
      </c>
      <c r="BF16" s="127">
        <f t="shared" ref="BF16" si="13">IF(ISNUMBER(BC16/BA16),BC16/BA16, " - ")</f>
        <v>0.12461059190031153</v>
      </c>
      <c r="BG16" s="195">
        <f t="shared" si="10"/>
        <v>1.493380062305296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42</v>
      </c>
      <c r="J17" s="182">
        <v>206</v>
      </c>
      <c r="K17" s="182">
        <v>184</v>
      </c>
      <c r="L17" s="182">
        <v>94</v>
      </c>
      <c r="M17" s="182">
        <v>27</v>
      </c>
      <c r="N17" s="182">
        <v>84</v>
      </c>
      <c r="O17" s="182">
        <v>0</v>
      </c>
      <c r="P17" s="182">
        <v>0</v>
      </c>
      <c r="Q17" s="182">
        <v>2</v>
      </c>
      <c r="R17" s="182">
        <v>2</v>
      </c>
      <c r="S17" s="182">
        <v>56</v>
      </c>
      <c r="T17" s="182">
        <v>188</v>
      </c>
      <c r="U17" s="182">
        <v>202</v>
      </c>
      <c r="V17" s="182">
        <v>42</v>
      </c>
      <c r="W17" s="182">
        <v>32</v>
      </c>
      <c r="X17" s="188">
        <v>124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56</v>
      </c>
      <c r="AZ17" s="129">
        <f t="shared" si="14"/>
        <v>188</v>
      </c>
      <c r="BA17" s="129">
        <f t="shared" si="14"/>
        <v>202</v>
      </c>
      <c r="BB17" s="129">
        <f t="shared" si="14"/>
        <v>42</v>
      </c>
      <c r="BC17" s="125">
        <f>IF(ISNUMBER(W17),W17," - ")</f>
        <v>32</v>
      </c>
      <c r="BD17" s="126">
        <f>IF(ISNUMBER(BA17/AZ17),BA17/AZ17," - ")</f>
        <v>1.074468085106383</v>
      </c>
      <c r="BE17" s="127">
        <f>IF(ISNUMBER(BB17/BA17),BB17/BA17, " - ")</f>
        <v>0.20792079207920791</v>
      </c>
      <c r="BF17" s="127">
        <f>IF(ISNUMBER(BC17/BA17),BC17/BA17, " - ")</f>
        <v>0.15841584158415842</v>
      </c>
      <c r="BG17" s="195">
        <f>IF(ISNUMBER((AY17+AZ17)/BA17),(AY17+AZ17)/BA17," - ")</f>
        <v>1.2079207920792079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1264</v>
      </c>
      <c r="J18" s="183">
        <f t="shared" si="15"/>
        <v>3142</v>
      </c>
      <c r="K18" s="183">
        <f t="shared" si="15"/>
        <v>2923</v>
      </c>
      <c r="L18" s="183">
        <f t="shared" si="15"/>
        <v>1515</v>
      </c>
      <c r="M18" s="183">
        <f t="shared" si="15"/>
        <v>265</v>
      </c>
      <c r="N18" s="183">
        <f t="shared" si="15"/>
        <v>1996</v>
      </c>
      <c r="O18" s="183">
        <f t="shared" si="15"/>
        <v>8</v>
      </c>
      <c r="P18" s="183">
        <f t="shared" si="15"/>
        <v>54</v>
      </c>
      <c r="Q18" s="183">
        <f t="shared" si="15"/>
        <v>18</v>
      </c>
      <c r="R18" s="183">
        <f t="shared" si="15"/>
        <v>144</v>
      </c>
      <c r="S18" s="183">
        <f t="shared" si="15"/>
        <v>1052</v>
      </c>
      <c r="T18" s="183">
        <f t="shared" si="15"/>
        <v>3027</v>
      </c>
      <c r="U18" s="183">
        <f t="shared" si="15"/>
        <v>2770</v>
      </c>
      <c r="V18" s="183">
        <f t="shared" si="15"/>
        <v>1264</v>
      </c>
      <c r="W18" s="183">
        <f t="shared" si="15"/>
        <v>352</v>
      </c>
      <c r="X18" s="183">
        <f t="shared" si="15"/>
        <v>1793</v>
      </c>
      <c r="Y18" s="183">
        <f t="shared" si="15"/>
        <v>0</v>
      </c>
      <c r="Z18" s="183">
        <f t="shared" si="15"/>
        <v>0</v>
      </c>
      <c r="AA18" s="183">
        <f t="shared" si="15"/>
        <v>0</v>
      </c>
      <c r="AB18" s="183">
        <f t="shared" si="15"/>
        <v>0</v>
      </c>
      <c r="AC18" s="183">
        <f t="shared" si="15"/>
        <v>0</v>
      </c>
      <c r="AD18" s="183">
        <f t="shared" si="15"/>
        <v>15</v>
      </c>
      <c r="AE18" s="183">
        <f t="shared" si="15"/>
        <v>7</v>
      </c>
      <c r="AF18" s="183">
        <f t="shared" si="15"/>
        <v>8</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1052</v>
      </c>
      <c r="AZ18" s="183">
        <f>SUBTOTAL(9,AZ14:AZ17)</f>
        <v>3027</v>
      </c>
      <c r="BA18" s="183">
        <f>SUBTOTAL(9,BA14:BA17)</f>
        <v>2770</v>
      </c>
      <c r="BB18" s="183">
        <f>SUBTOTAL(9,BB14:BB17)</f>
        <v>1264</v>
      </c>
      <c r="BC18" s="183">
        <f>SUBTOTAL(9,BC14:BC17)</f>
        <v>352</v>
      </c>
      <c r="BD18" s="204">
        <f>IF(ISNUMBER(BA18/AZ18),BA18/AZ18," - ")</f>
        <v>0.91509745622728778</v>
      </c>
      <c r="BE18" s="205">
        <f>IF(ISNUMBER(BB18/BA18),BB18/BA18, " - ")</f>
        <v>0.45631768953068591</v>
      </c>
      <c r="BF18" s="205">
        <f>IF(ISNUMBER(BC18/BA18),BC18/BA18, " - ")</f>
        <v>0.12707581227436823</v>
      </c>
      <c r="BG18" s="206">
        <f>IF(ISNUMBER((AY18+AZ18)/BA18),(AY18+AZ18)/BA18," - ")</f>
        <v>1.4725631768953069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3529</v>
      </c>
      <c r="J19" s="134">
        <f t="shared" si="18"/>
        <v>4917</v>
      </c>
      <c r="K19" s="134">
        <f t="shared" si="18"/>
        <v>4030</v>
      </c>
      <c r="L19" s="134">
        <f t="shared" si="18"/>
        <v>4448</v>
      </c>
      <c r="M19" s="134">
        <f t="shared" si="18"/>
        <v>500</v>
      </c>
      <c r="N19" s="134">
        <f t="shared" si="18"/>
        <v>2386</v>
      </c>
      <c r="O19" s="134">
        <f t="shared" si="18"/>
        <v>407</v>
      </c>
      <c r="P19" s="134">
        <f t="shared" si="18"/>
        <v>327</v>
      </c>
      <c r="Q19" s="134">
        <f t="shared" si="18"/>
        <v>195</v>
      </c>
      <c r="R19" s="134">
        <f t="shared" si="18"/>
        <v>1974</v>
      </c>
      <c r="S19" s="134">
        <f t="shared" si="18"/>
        <v>2860</v>
      </c>
      <c r="T19" s="134">
        <f t="shared" si="18"/>
        <v>4833</v>
      </c>
      <c r="U19" s="134">
        <f t="shared" si="18"/>
        <v>4212</v>
      </c>
      <c r="V19" s="134">
        <f t="shared" si="18"/>
        <v>3529</v>
      </c>
      <c r="W19" s="134">
        <f t="shared" si="18"/>
        <v>590</v>
      </c>
      <c r="X19" s="134">
        <f t="shared" si="18"/>
        <v>2330</v>
      </c>
      <c r="Y19" s="134">
        <f t="shared" si="18"/>
        <v>185</v>
      </c>
      <c r="Z19" s="134">
        <f t="shared" si="18"/>
        <v>114</v>
      </c>
      <c r="AA19" s="134">
        <f t="shared" si="18"/>
        <v>59</v>
      </c>
      <c r="AB19" s="134">
        <f t="shared" si="18"/>
        <v>240</v>
      </c>
      <c r="AC19" s="134">
        <f t="shared" si="18"/>
        <v>0</v>
      </c>
      <c r="AD19" s="134">
        <f t="shared" si="18"/>
        <v>15</v>
      </c>
      <c r="AE19" s="134">
        <f t="shared" si="18"/>
        <v>7</v>
      </c>
      <c r="AF19" s="134">
        <f t="shared" si="18"/>
        <v>8</v>
      </c>
      <c r="AG19" s="134">
        <f t="shared" si="18"/>
        <v>158</v>
      </c>
      <c r="AH19" s="134">
        <f t="shared" si="18"/>
        <v>145</v>
      </c>
      <c r="AI19" s="134">
        <f t="shared" si="18"/>
        <v>107</v>
      </c>
      <c r="AJ19" s="134">
        <f t="shared" si="18"/>
        <v>185</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3018</v>
      </c>
      <c r="AZ19" s="134">
        <f>SUBTOTAL(9,AZ9:AZ18)</f>
        <v>4978</v>
      </c>
      <c r="BA19" s="134">
        <f>SUBTOTAL(9,BA9:BA18)</f>
        <v>4319</v>
      </c>
      <c r="BB19" s="134">
        <f>SUBTOTAL(9,BB9:BB18)</f>
        <v>3714</v>
      </c>
      <c r="BC19" s="135">
        <f>SUBTOTAL(9,BC9:BC18)</f>
        <v>894</v>
      </c>
      <c r="BD19" s="212">
        <f>IF(ISNUMBER(BA19/AZ19),BA19/AZ19," - ")</f>
        <v>0.86761751707513057</v>
      </c>
      <c r="BE19" s="209">
        <f>IF(ISNUMBER(BB19/BA19),BB19/BA19, " - ")</f>
        <v>0.85992127807362817</v>
      </c>
      <c r="BF19" s="209">
        <f>IF(ISNUMBER(BC19/BA19),BC19/BA19, " - ")</f>
        <v>0.20699235934244037</v>
      </c>
      <c r="BG19" s="135">
        <f>IF(ISNUMBER((AY19+AZ19)/BA19),(AY19+AZ19)/BA19," - ")</f>
        <v>1.8513544802037509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UT0oaw/z1MFCF+c2q8FtWqZF4t1c1vC9G5E8cu2P0E59FfOGthBlx8IOpgUcQuy3CFP/1AwpR6ih2t6p6wR0g==" saltValue="8vE1t2L91RejiWc/cdo+4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1kuecTXumoJ/wdnNFFfmZaE5x0ZLBeSwAC+zKqUi330ILaF0S71ngedNTnXrD3j0xGypccUTyTBkDg4TTgEqA==" saltValue="uiMiqs5izdx9qPjhjLOZ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MORON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29</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0.25</v>
      </c>
      <c r="BH10" s="259">
        <f>IF(ISNUMBER(((Datos!L10/Datos!K10)*11)/factor_trimestre),((Datos!L10/Datos!K10)*11)/factor_trimestre," - ")</f>
        <v>63.8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114</v>
      </c>
      <c r="O12" s="333"/>
      <c r="P12" s="333"/>
      <c r="Q12" s="225">
        <f>IF(ISNUMBER(Datos!P12),Datos!P12,0)</f>
        <v>272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240</v>
      </c>
      <c r="AI12" s="333" t="str">
        <f>IF(ISNUMBER(Datos!CD12),Datos!CD12,"-")</f>
        <v>-</v>
      </c>
      <c r="AJ12" s="333" t="str">
        <f>IF(ISNUMBER(Datos!EN12),Datos!EN12," - ")</f>
        <v xml:space="preserve"> - </v>
      </c>
      <c r="AK12" s="333"/>
      <c r="AL12" s="478"/>
      <c r="AM12" s="334">
        <f>IF(ISNUMBER(Datos!R12),Datos!R12," - ")</f>
        <v>1829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232</v>
      </c>
      <c r="BD12" s="228">
        <f>IF(ISNUMBER(Datos!N12),Datos!N12," - ")</f>
        <v>389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0.6211878009630819</v>
      </c>
      <c r="BH12" s="259">
        <f>IF(ISNUMBER(((IF(J_V="SI",Datos!L12/Datos!K12,(Datos!L12+Datos!AB12)/(Datos!K12+Datos!AA12)))*11)/factor_trimestre),((IF(J_V="SI",Datos!L12/Datos!K12,(Datos!L12+Datos!AB12)/(Datos!K12+Datos!AA12)))*11)/factor_trimestre," - ")</f>
        <v>29.788113695090441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5.4786620530565169E-2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114</v>
      </c>
      <c r="O13" s="899">
        <f t="shared" si="0"/>
        <v>0</v>
      </c>
      <c r="P13" s="899">
        <f t="shared" si="0"/>
        <v>0</v>
      </c>
      <c r="Q13" s="898">
        <f t="shared" si="0"/>
        <v>273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177</v>
      </c>
      <c r="AD13" s="898">
        <f t="shared" si="1"/>
        <v>0</v>
      </c>
      <c r="AE13" s="898">
        <f t="shared" si="1"/>
        <v>0</v>
      </c>
      <c r="AF13" s="898">
        <f t="shared" si="1"/>
        <v>29</v>
      </c>
      <c r="AG13" s="898">
        <f t="shared" si="1"/>
        <v>0</v>
      </c>
      <c r="AH13" s="898">
        <f t="shared" si="1"/>
        <v>240</v>
      </c>
      <c r="AI13" s="898">
        <f t="shared" si="1"/>
        <v>0</v>
      </c>
      <c r="AJ13" s="898">
        <f t="shared" si="1"/>
        <v>0</v>
      </c>
      <c r="AK13" s="898">
        <f t="shared" si="1"/>
        <v>0</v>
      </c>
      <c r="AL13" s="898">
        <f t="shared" si="1"/>
        <v>0</v>
      </c>
      <c r="AM13" s="898">
        <f t="shared" si="1"/>
        <v>1830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235</v>
      </c>
      <c r="BD13" s="898">
        <f t="shared" si="1"/>
        <v>390</v>
      </c>
      <c r="BE13" s="898">
        <f t="shared" si="1"/>
        <v>0</v>
      </c>
      <c r="BF13" s="898">
        <f t="shared" si="1"/>
        <v>0</v>
      </c>
      <c r="BG13" s="898">
        <f>IF(ISNUMBER(Datos!K13/Datos!J13),Datos!K13/Datos!J13," - ")</f>
        <v>0.62366197183098593</v>
      </c>
      <c r="BH13" s="902">
        <f>IF(ISNUMBER(((Datos!L13/Datos!K13)*11)/factor_trimestre),((Datos!L13/Datos!K13)*11)/factor_trimestre," - ")</f>
        <v>29.144534778681123</v>
      </c>
      <c r="BI13" s="898">
        <f>IF(ISNUMBER('Resol  Asuntos'!D13/NºAsuntos!G13),'Resol  Asuntos'!D13/NºAsuntos!G13," - ")</f>
        <v>0.20154373927958832</v>
      </c>
      <c r="BJ13" s="898" t="str">
        <f>IF(ISNUMBER(Datos!CI13/Datos!CJ13),Datos!CI13/Datos!CJ13," - ")</f>
        <v xml:space="preserve"> - </v>
      </c>
      <c r="BK13" s="898">
        <f>SUBTOTAL(9,BK8:BK12)</f>
        <v>0</v>
      </c>
      <c r="BL13" s="898">
        <f>IF(ISNUMBER((I13-AB13+L13)/(F13)),(I13-AB13+L13)/(F13)," - ")</f>
        <v>-0.35714285714285715</v>
      </c>
      <c r="BM13" s="903">
        <f>SUBTOTAL(9,BM9:BM12)</f>
        <v>5.4786620530565169E-2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1224</v>
      </c>
      <c r="G16" s="597">
        <f>IF(ISNUMBER(IF(D_I="SI",Datos!I16,Datos!I16+Datos!AC16)),IF(D_I="SI",Datos!I16,Datos!I16+Datos!AC16)," - ")</f>
        <v>1222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2739</v>
      </c>
      <c r="AC16" s="225">
        <f>IF(ISNUMBER(Datos!Q16),Datos!Q16," - ")</f>
        <v>16</v>
      </c>
      <c r="AD16" s="333"/>
      <c r="AE16" s="483"/>
      <c r="AF16" s="595">
        <f>IF(ISNUMBER(IF(D_I="SI",Datos!L16,Datos!L16+Datos!AF16)),IF(D_I="SI",Datos!L16,Datos!L16+Datos!AF16)," - ")</f>
        <v>1421</v>
      </c>
      <c r="AG16" s="333"/>
      <c r="AH16" s="333"/>
      <c r="AI16" s="333"/>
      <c r="AJ16" s="333"/>
      <c r="AK16" s="333"/>
      <c r="AL16" s="478"/>
      <c r="AM16" s="334">
        <f>IF(ISNUMBER(Datos!R16),Datos!R16," - ")</f>
        <v>142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238</v>
      </c>
      <c r="BD16" s="228">
        <f>IF(ISNUMBER(Datos!N16),Datos!N16," - ")</f>
        <v>1912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0.93290190735694822</v>
      </c>
      <c r="BH16" s="259">
        <f>IF(ISNUMBER(((IF(D_I="SI",Datos!L16/Datos!K16,(Datos!L16+Datos!AF16)/(Datos!K16+Datos!AE16)))*11)/factor_trimestre),((IF(D_I="SI",Datos!L16/Datos!K16,(Datos!L16+Datos!AF16)/(Datos!K16+Datos!AE16)))*11)/factor_trimestre," - ")</f>
        <v>5.7068273092369477</v>
      </c>
      <c r="BI16" s="242">
        <f>IF(ISNUMBER('Resol  Asuntos'!D16/NºAsuntos!G16),'Resol  Asuntos'!D16/NºAsuntos!G16," - ")</f>
        <v>8.6893026652062791E-2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184</v>
      </c>
      <c r="AC17" s="225">
        <f>IF(ISNUMBER(Datos!Q17),Datos!Q17," - ")</f>
        <v>2</v>
      </c>
      <c r="AD17" s="333"/>
      <c r="AE17" s="483"/>
      <c r="AF17" s="331">
        <f>IF(ISNUMBER(Datos!L17),Datos!L17,"-")</f>
        <v>94</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84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0.89320388349514568</v>
      </c>
      <c r="BH17" s="259">
        <f>IF(ISNUMBER(((IF(D_I="SI",Datos!L17/Datos!K17,(Datos!L17+Datos!AF17)/(Datos!K17+Datos!AE17)))*11)/factor_trimestre),((IF(D_I="SI",Datos!L17/Datos!K17,(Datos!L17+Datos!AF17)/(Datos!K17+Datos!AE17)))*11)/factor_trimestre," - ")</f>
        <v>5.6195652173913047</v>
      </c>
      <c r="BI17" s="242">
        <f>IF(ISNUMBER('Resol  Asuntos'!D17/NºAsuntos!G17),'Resol  Asuntos'!D17/NºAsuntos!G17," - ")</f>
        <v>0.14673913043478262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1224</v>
      </c>
      <c r="G18" s="897">
        <f>SUBTOTAL(9,G15:G17)</f>
        <v>1264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2923</v>
      </c>
      <c r="AC18" s="898">
        <f t="shared" si="4"/>
        <v>18</v>
      </c>
      <c r="AD18" s="898">
        <f t="shared" si="4"/>
        <v>0</v>
      </c>
      <c r="AE18" s="898">
        <f t="shared" si="4"/>
        <v>0</v>
      </c>
      <c r="AF18" s="898">
        <f t="shared" si="4"/>
        <v>1515</v>
      </c>
      <c r="AG18" s="898">
        <f t="shared" si="4"/>
        <v>0</v>
      </c>
      <c r="AH18" s="898">
        <f t="shared" si="4"/>
        <v>0</v>
      </c>
      <c r="AI18" s="898">
        <f t="shared" si="4"/>
        <v>0</v>
      </c>
      <c r="AJ18" s="898">
        <f t="shared" si="4"/>
        <v>0</v>
      </c>
      <c r="AK18" s="898">
        <f t="shared" si="4"/>
        <v>0</v>
      </c>
      <c r="AL18" s="898">
        <f t="shared" si="4"/>
        <v>0</v>
      </c>
      <c r="AM18" s="898">
        <f t="shared" si="4"/>
        <v>144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265</v>
      </c>
      <c r="BD18" s="898">
        <f t="shared" si="4"/>
        <v>1996</v>
      </c>
      <c r="BE18" s="898">
        <f t="shared" si="4"/>
        <v>0</v>
      </c>
      <c r="BF18" s="898">
        <f t="shared" si="4"/>
        <v>0</v>
      </c>
      <c r="BG18" s="898">
        <f>IF(ISNUMBER(Datos!K18/Datos!J18),Datos!K18/Datos!J18," - ")</f>
        <v>0.93029917250159133</v>
      </c>
      <c r="BH18" s="902">
        <f>IF(ISNUMBER(((Datos!L18/Datos!K18)*11)/factor_trimestre),((Datos!L18/Datos!K18)*11)/factor_trimestre," - ")</f>
        <v>5.7013342456380434</v>
      </c>
      <c r="BI18" s="898">
        <f>SUBTOTAL(9,BI15:BI17)</f>
        <v>0.23363215708684543</v>
      </c>
      <c r="BJ18" s="898">
        <f>SUBTOTAL(9,BJ15:BJ17)</f>
        <v>0</v>
      </c>
      <c r="BK18" s="898">
        <f>SUBTOTAL(9,BK15:BK17)</f>
        <v>0</v>
      </c>
      <c r="BL18" s="898">
        <f>IF(ISNUMBER((I18-AB18+L18)/(F18)),(I18-AB18+L18)/(F18)," - ")</f>
        <v>-2.3880718954248366</v>
      </c>
      <c r="BM18" s="904">
        <f>IF(ISNUMBER((Datos!P18-Datos!Q18)/(Datos!R18-Datos!P18+Datos!Q18)),(Datos!P18-Datos!Q18)/(Datos!R18-Datos!P18+Datos!Q18)," - ")</f>
        <v>0.33333333333333331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1238</v>
      </c>
      <c r="G19" s="819">
        <f t="shared" si="6"/>
        <v>1278</v>
      </c>
      <c r="H19" s="821">
        <f t="shared" si="6"/>
        <v>0</v>
      </c>
      <c r="I19" s="819">
        <f t="shared" si="6"/>
        <v>0</v>
      </c>
      <c r="J19" s="821">
        <f t="shared" si="6"/>
        <v>0</v>
      </c>
      <c r="K19" s="821">
        <f t="shared" si="6"/>
        <v>0</v>
      </c>
      <c r="L19" s="880">
        <f t="shared" si="6"/>
        <v>0</v>
      </c>
      <c r="M19" s="880">
        <f t="shared" si="6"/>
        <v>0</v>
      </c>
      <c r="N19" s="880">
        <f t="shared" si="6"/>
        <v>114</v>
      </c>
      <c r="O19" s="880">
        <f t="shared" si="6"/>
        <v>0</v>
      </c>
      <c r="P19" s="880">
        <f t="shared" si="6"/>
        <v>0</v>
      </c>
      <c r="Q19" s="821">
        <f t="shared" si="6"/>
        <v>327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2928</v>
      </c>
      <c r="AC19" s="820">
        <f t="shared" si="7"/>
        <v>195</v>
      </c>
      <c r="AD19" s="820">
        <f t="shared" si="7"/>
        <v>0</v>
      </c>
      <c r="AE19" s="820">
        <f t="shared" si="7"/>
        <v>0</v>
      </c>
      <c r="AF19" s="827">
        <f t="shared" si="7"/>
        <v>1544</v>
      </c>
      <c r="AG19" s="827">
        <f t="shared" si="7"/>
        <v>0</v>
      </c>
      <c r="AH19" s="827">
        <f t="shared" si="7"/>
        <v>240</v>
      </c>
      <c r="AI19" s="827">
        <f t="shared" si="7"/>
        <v>0</v>
      </c>
      <c r="AJ19" s="820">
        <f t="shared" si="7"/>
        <v>0</v>
      </c>
      <c r="AK19" s="827">
        <f t="shared" si="7"/>
        <v>0</v>
      </c>
      <c r="AL19" s="827">
        <f t="shared" si="7"/>
        <v>0</v>
      </c>
      <c r="AM19" s="827">
        <f t="shared" si="7"/>
        <v>1974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500</v>
      </c>
      <c r="BD19" s="819">
        <f t="shared" si="7"/>
        <v>2386</v>
      </c>
      <c r="BE19" s="819">
        <f t="shared" si="7"/>
        <v>0</v>
      </c>
      <c r="BF19" s="829">
        <f t="shared" si="7"/>
        <v>0</v>
      </c>
      <c r="BG19" s="914">
        <f>IF(ISNUMBER(Datos!K19/Datos!J19),Datos!K19/Datos!J19," - ")</f>
        <v>0.81960545047793365</v>
      </c>
      <c r="BH19" s="914">
        <f>IF(ISNUMBER(((Datos!L19/Datos!K19)*11)/factor_trimestre),((Datos!L19/Datos!K19)*11)/factor_trimestre," - ")</f>
        <v>12.140942928039703</v>
      </c>
      <c r="BI19" s="812">
        <f>IF(ISNUMBER(Datos!J19/Datos!I19),Datos!J19/Datos!I19," - ")</f>
        <v>1.3933125531311987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-2.3651050080775446</v>
      </c>
      <c r="BM19" s="888">
        <f>IF(ISNUMBER((Datos!P19-Datos!Q19+R19)/(Datos!R19-Datos!P19+Datos!Q19-R19)),(Datos!P19-Datos!Q19+R19)/(Datos!R19-Datos!P19+Datos!Q19-R19)," - ")</f>
        <v>7.1661237785016291E-2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698.59382571944718</v>
      </c>
      <c r="G21" s="551">
        <f>IF(ISNUMBER(STDEV(G8:G18)),STDEV(G8:G18),"-")</f>
        <v>668.30172826351418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1518.3386315311877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118.3125803398213</v>
      </c>
      <c r="BD21" s="550"/>
      <c r="BE21" s="550">
        <f>IF(ISNUMBER(STDEV(BE8:BE18)),STDEV(BE8:BE18),"-")</f>
        <v>0</v>
      </c>
      <c r="BF21" s="555">
        <f>IF(ISNUMBER(STDEV(BF8:BF18)),STDEV(BF8:BF18),"-")</f>
        <v>0</v>
      </c>
      <c r="BG21" s="774">
        <f>IF(ISNUMBER(STDEV(BG8:BG18)),STDEV(BG8:BG18),"-")</f>
        <v>0.26784688306388804</v>
      </c>
      <c r="BH21" s="775">
        <f>IF(ISNUMBER(STDEV(BH8:BH18)),STDEV(BH8:BH18),"-")</f>
        <v>23.014493173544452</v>
      </c>
      <c r="BI21" s="248">
        <f>IF(ISNUMBER(STDEV(BI8:BI18)),STDEV(BI8:BI18),"-")</f>
        <v>6.4447862799765609E-2</v>
      </c>
      <c r="BJ21" s="229" t="str">
        <f>IF(ISNUMBER(BL21/BM21),BL21/BM21," - ")</f>
        <v xml:space="preserve"> - </v>
      </c>
      <c r="BK21" s="574"/>
      <c r="BL21" s="558">
        <f>IF(ISNUMBER(STDEV(BL8:BL18)),STDEV(BL8:BL18),"-")</f>
        <v>1.4360836950778608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VDyixVPrvMPpwLaY/ozoQMRhrf0nDCHmkM0/aHk4LGl0HtlNv3NKSN8qld6RO9wfM2RbKxo9dDS/2vhMfNd/w==" saltValue="rHoY4gVBfJ6HfsQoDFuW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MORON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29</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63.8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177</v>
      </c>
      <c r="AA12" s="331" t="str">
        <f>IF(ISNUMBER(IF(J_V="SI",Datos!L12,Datos!L12+Datos!AB12)-IF(Monitorios="SI",Datos!CD12,0)),
                          IF(J_V="SI",Datos!L12,Datos!L12+Datos!AB12)-IF(Monitorios="SI",Datos!CD12,0),
                          " - ")</f>
        <v xml:space="preserve"> - </v>
      </c>
      <c r="AB12" s="333"/>
      <c r="AC12" s="333"/>
      <c r="AD12" s="483"/>
      <c r="AE12" s="483">
        <f>IF(ISNUMBER(Datos!R12),Datos!R12," - ")</f>
        <v>1829</v>
      </c>
      <c r="AF12" s="228" t="str">
        <f>IF(ISNUMBER(Datos!BV12),Datos!BV12," - ")</f>
        <v xml:space="preserve"> - </v>
      </c>
      <c r="AG12" s="224" t="str">
        <f>IF(ISNUMBER(Datos!DV12),Datos!DV12," - ")</f>
        <v xml:space="preserve"> - </v>
      </c>
      <c r="AH12" s="297"/>
      <c r="AI12" s="226"/>
      <c r="AJ12" s="224">
        <f>IF(ISNUMBER(Datos!M12),Datos!M12," - ")</f>
        <v>232</v>
      </c>
      <c r="AK12" s="228">
        <f>IF(ISNUMBER(Datos!N12),Datos!N12," - ")</f>
        <v>389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29.788113695090441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5.4786620530565169E-2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273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177</v>
      </c>
      <c r="AA13" s="899">
        <f t="shared" si="2"/>
        <v>29</v>
      </c>
      <c r="AB13" s="899">
        <f t="shared" si="2"/>
        <v>0</v>
      </c>
      <c r="AC13" s="899">
        <f t="shared" si="2"/>
        <v>0</v>
      </c>
      <c r="AD13" s="899">
        <f t="shared" si="2"/>
        <v>0</v>
      </c>
      <c r="AE13" s="899">
        <f t="shared" si="2"/>
        <v>1830</v>
      </c>
      <c r="AF13" s="907">
        <f t="shared" si="2"/>
        <v>0</v>
      </c>
      <c r="AG13" s="907">
        <f t="shared" si="2"/>
        <v>0</v>
      </c>
      <c r="AH13" s="907">
        <f t="shared" si="2"/>
        <v>0</v>
      </c>
      <c r="AI13" s="907">
        <f t="shared" si="2"/>
        <v>0</v>
      </c>
      <c r="AJ13" s="907">
        <f t="shared" si="2"/>
        <v>235</v>
      </c>
      <c r="AK13" s="907">
        <f t="shared" si="2"/>
        <v>390</v>
      </c>
      <c r="AL13" s="907">
        <f t="shared" si="2"/>
        <v>0</v>
      </c>
      <c r="AM13" s="907">
        <f t="shared" si="2"/>
        <v>0</v>
      </c>
      <c r="AN13" s="907">
        <f t="shared" si="2"/>
        <v>0</v>
      </c>
      <c r="AO13" s="903">
        <f>IF(ISNUMBER(((NºAsuntos!I13/NºAsuntos!G13)*11)/factor_trimestre),((NºAsuntos!I13/NºAsuntos!G13)*11)/factor_trimestre," - ")</f>
        <v>29.933962264150942</v>
      </c>
      <c r="AP13" s="909" t="str">
        <f>IF(ISNUMBER(Datos!CI13/Datos!CJ13),Datos!CI13/Datos!CJ13," - ")</f>
        <v xml:space="preserve"> - </v>
      </c>
      <c r="AQ13" s="927">
        <f t="shared" ref="AQ13:AV13" si="3">SUBTOTAL(9,AQ9:AQ12)</f>
        <v>0</v>
      </c>
      <c r="AR13" s="927">
        <f t="shared" si="3"/>
        <v>5.4786620530565169E-2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1224</v>
      </c>
      <c r="G16" s="224">
        <f>IF(ISNUMBER(IF(D_I="SI",Datos!I16,Datos!I16+Datos!AC16)),IF(D_I="SI",Datos!I16,Datos!I16+Datos!AC16)," - ")</f>
        <v>1222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2739</v>
      </c>
      <c r="Z16" s="618">
        <f>IF(ISNUMBER(Datos!Q16),Datos!Q16," - ")</f>
        <v>16</v>
      </c>
      <c r="AA16" s="331">
        <f>IF(ISNUMBER(IF(D_I="SI",Datos!L16,Datos!L16+Datos!AF16)),IF(D_I="SI",Datos!L16,Datos!L16+Datos!AF16)," - ")</f>
        <v>1421</v>
      </c>
      <c r="AB16" s="333"/>
      <c r="AC16" s="333"/>
      <c r="AD16" s="483"/>
      <c r="AE16" s="483">
        <f>IF(ISNUMBER(Datos!R16),Datos!R16," - ")</f>
        <v>142</v>
      </c>
      <c r="AF16" s="228" t="str">
        <f>IF(ISNUMBER(Datos!BV16),Datos!BV16," - ")</f>
        <v xml:space="preserve"> - </v>
      </c>
      <c r="AG16" s="224"/>
      <c r="AH16" s="297"/>
      <c r="AI16" s="226"/>
      <c r="AJ16" s="224">
        <f>IF(ISNUMBER(Datos!M16),Datos!M16," - ")</f>
        <v>238</v>
      </c>
      <c r="AK16" s="228">
        <f>IF(ISNUMBER(Datos!N16),Datos!N16," - ")</f>
        <v>1912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5.7068273092369477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184</v>
      </c>
      <c r="Z17" s="618">
        <f>IF(ISNUMBER(Datos!Q17),Datos!Q17," - ")</f>
        <v>2</v>
      </c>
      <c r="AA17" s="331">
        <f>IF(ISNUMBER(Datos!L17),Datos!L17,"-")</f>
        <v>94</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27</v>
      </c>
      <c r="AK17" s="228">
        <f>IF(ISNUMBER(Datos!N17),Datos!N17," - ")</f>
        <v>84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5.6195652173913047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1224</v>
      </c>
      <c r="G18" s="897">
        <f>SUBTOTAL(9,G15:G17)</f>
        <v>1264</v>
      </c>
      <c r="H18" s="931">
        <f>SUBTOTAL(9,H15:H17)</f>
        <v>0</v>
      </c>
      <c r="I18" s="910">
        <f>SUBTOTAL(9,I15:I17)</f>
        <v>0</v>
      </c>
      <c r="J18" s="866">
        <f>SUBTOTAL(9,J14:J17)</f>
        <v>0</v>
      </c>
      <c r="K18" s="931">
        <f t="shared" ref="K18:S18" si="4">SUBTOTAL(9,K15:K17)</f>
        <v>0</v>
      </c>
      <c r="L18" s="931">
        <f t="shared" si="4"/>
        <v>0</v>
      </c>
      <c r="M18" s="931">
        <f t="shared" si="4"/>
        <v>0</v>
      </c>
      <c r="N18" s="931">
        <f t="shared" si="4"/>
        <v>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2923</v>
      </c>
      <c r="Z18" s="931">
        <f t="shared" si="5"/>
        <v>18</v>
      </c>
      <c r="AA18" s="931">
        <f t="shared" si="5"/>
        <v>1515</v>
      </c>
      <c r="AB18" s="931">
        <f t="shared" si="5"/>
        <v>0</v>
      </c>
      <c r="AC18" s="931">
        <f t="shared" si="5"/>
        <v>0</v>
      </c>
      <c r="AD18" s="931">
        <f t="shared" si="5"/>
        <v>0</v>
      </c>
      <c r="AE18" s="931">
        <f t="shared" si="5"/>
        <v>144</v>
      </c>
      <c r="AF18" s="931">
        <f t="shared" si="5"/>
        <v>0</v>
      </c>
      <c r="AG18" s="931">
        <f t="shared" si="5"/>
        <v>0</v>
      </c>
      <c r="AH18" s="931">
        <f t="shared" si="5"/>
        <v>0</v>
      </c>
      <c r="AI18" s="931">
        <f t="shared" si="5"/>
        <v>0</v>
      </c>
      <c r="AJ18" s="931">
        <f t="shared" si="5"/>
        <v>265</v>
      </c>
      <c r="AK18" s="931">
        <f t="shared" si="5"/>
        <v>1996</v>
      </c>
      <c r="AL18" s="931">
        <f t="shared" si="5"/>
        <v>0</v>
      </c>
      <c r="AM18" s="931">
        <f t="shared" si="5"/>
        <v>0</v>
      </c>
      <c r="AN18" s="931">
        <f t="shared" si="5"/>
        <v>0</v>
      </c>
      <c r="AO18" s="933">
        <f>IF(ISNUMBER(((NºAsuntos!I18/NºAsuntos!G18)*11)/factor_trimestre),((NºAsuntos!I18/NºAsuntos!G18)*11)/factor_trimestre," - ")</f>
        <v>5.7013342456380434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1238</v>
      </c>
      <c r="G19" s="819">
        <f t="shared" si="7"/>
        <v>1278</v>
      </c>
      <c r="H19" s="820">
        <f t="shared" si="7"/>
        <v>0</v>
      </c>
      <c r="I19" s="819">
        <f t="shared" si="7"/>
        <v>0</v>
      </c>
      <c r="J19" s="821">
        <f t="shared" si="7"/>
        <v>0</v>
      </c>
      <c r="K19" s="819">
        <f t="shared" si="7"/>
        <v>0</v>
      </c>
      <c r="L19" s="822">
        <f t="shared" si="7"/>
        <v>0</v>
      </c>
      <c r="M19" s="819">
        <f t="shared" si="7"/>
        <v>0</v>
      </c>
      <c r="N19" s="820">
        <f t="shared" si="7"/>
        <v>327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2928</v>
      </c>
      <c r="Z19" s="826">
        <f t="shared" si="8"/>
        <v>195</v>
      </c>
      <c r="AA19" s="827">
        <f t="shared" si="8"/>
        <v>1544</v>
      </c>
      <c r="AB19" s="827">
        <f t="shared" si="8"/>
        <v>0</v>
      </c>
      <c r="AC19" s="827">
        <f t="shared" si="8"/>
        <v>0</v>
      </c>
      <c r="AD19" s="828">
        <f t="shared" si="8"/>
        <v>0</v>
      </c>
      <c r="AE19" s="828">
        <f t="shared" si="8"/>
        <v>1974</v>
      </c>
      <c r="AF19" s="829">
        <f t="shared" si="8"/>
        <v>0</v>
      </c>
      <c r="AG19" s="830">
        <f t="shared" si="8"/>
        <v>0</v>
      </c>
      <c r="AH19" s="831">
        <f t="shared" si="8"/>
        <v>0</v>
      </c>
      <c r="AI19" s="829">
        <f t="shared" si="8"/>
        <v>0</v>
      </c>
      <c r="AJ19" s="819">
        <f t="shared" si="8"/>
        <v>500</v>
      </c>
      <c r="AK19" s="819">
        <f t="shared" si="8"/>
        <v>2386</v>
      </c>
      <c r="AL19" s="819">
        <f t="shared" si="8"/>
        <v>0</v>
      </c>
      <c r="AM19" s="832">
        <f t="shared" si="8"/>
        <v>0</v>
      </c>
      <c r="AN19" s="822">
        <f>IF(ISNUMBER(Datos!K19/Datos!J19),Datos!K19/Datos!J19," - ")</f>
        <v>0.81960545047793365</v>
      </c>
      <c r="AO19" s="822">
        <f>IF(ISNUMBER(FIND("06",Criterios!A8,1)),(IF(ISNUMBER(((Datos!R19/Datos!Q19)*11)/factor_trimestre),((Datos!R19/Datos!Q19)*11)/factor_trimestre," - ")),(IF(ISNUMBER(((Datos!L19/Datos!K19)*11)/factor_trimestre),((Datos!L19/Datos!K19)*11)/factor_trimestre," - ")))</f>
        <v>12.140942928039703</v>
      </c>
      <c r="AP19" s="833" t="str">
        <f>IF(ISNUMBER(Datos!CI19/Datos!CJ19),Datos!CI19/Datos!CJ19," - ")</f>
        <v xml:space="preserve"> - </v>
      </c>
      <c r="AQ19" s="833">
        <f>IF(OR(ISNUMBER(FIND("01",Criterios!A8,1)),ISNUMBER(FIND("02",Criterios!A8,1)),ISNUMBER(FIND("03",Criterios!A8,1)),ISNUMBER(FIND("04",Criterios!A8,1))),(J19-Y19+K19)/(F19-K19),(I19-Y19+K19)/(F19-K19))</f>
        <v>-2.3651050080775446</v>
      </c>
      <c r="AR19" s="833">
        <f>IF(ISNUMBER((Datos!P19-Datos!Q19+O19)/(Datos!R19-Datos!P19+Datos!Q19-O19)),(Datos!P19-Datos!Q19+O19)/(Datos!R19-Datos!P19+Datos!Q19-O19)," - ")</f>
        <v>7.1661237785016291E-2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698.59382571944718</v>
      </c>
      <c r="G21" s="551">
        <f>IF(ISNUMBER(STDEV(G8:G18)),STDEV(G8:G18),"-")</f>
        <v>668.30172826351418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118.3125803398213</v>
      </c>
      <c r="AK21" s="251"/>
      <c r="AL21" s="251">
        <f>IF(ISNUMBER(STDEV(AL8:AL18)),STDEV(AL8:AL18),"-")</f>
        <v>0</v>
      </c>
      <c r="AM21" s="253">
        <f>IF(ISNUMBER(STDEV(AM8:AM18)),STDEV(AM8:AM18),"-")</f>
        <v>0</v>
      </c>
      <c r="AN21" s="538">
        <f>IF(ISNUMBER(STDEV(AN8:AN18)),STDEV(AN8:AN18),"-")</f>
        <v>0</v>
      </c>
      <c r="AO21" s="539">
        <f>IF(ISNUMBER(STDEV(AO8:AO18)),STDEV(AO8:AO18),"-")</f>
        <v>23.056851084725672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ialODmZMT//oakUSJgidpnMrLhCqZU0gFMvMo2zEimu8vdj+3lWn5hcvOVwtLzpFGZvDjkfRVrh7ln+d5HJ3w==" saltValue="ak4z7znbwJyXQaKiWE3J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ZAOCY2yW5DtK6hCEfsB1++YMu5NYAu50JGDh72iRnpAL/s+LW3qHCFwx1l2P7kOlhG2l/vdmO90GT6yCDXsjw==" saltValue="MrH7ZN6opfVm1k1HI1YH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pinx1S7nQ7HpsENLseF+GdwVFrwPUMUFm35UcQN7W0PGb9yB7Fx5bPDGOF5XR/LFXX0yz4ReRM+7Pg3+5lGmg==" saltValue="I8rJ3H4itWR6PZPF/Wsm2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MORON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0.20154373927958832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0.14251294475029044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Pb/RVc3sRcZUMHDQsvpbYsS5ENwnWpex7jcXPof4LTFLMbyqUgEy1VpnMm3koch8sJtuIDJIwKfTFDDG5jTbA==" saltValue="8ApmnMrRKnQlpuGNtg97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mC+AHgxGXCqNYvDTP1UQrt4ZY5wugiztTmlkv3zrHK40EPvAcRn257bZxpc/Ik+R9UwKASGj7b1jKeBrNKjAw==" saltValue="Y8+icHxadu7vm5D7VDig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MORON DE LA FRONTERA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20</v>
      </c>
      <c r="F10" s="403">
        <f>IF(ISNUMBER(E10/B10),E10/B10," - ")</f>
        <v>20</v>
      </c>
      <c r="G10" s="402">
        <f>IF(ISNUMBER(Datos!K10),Datos!K10," - ")</f>
        <v>5</v>
      </c>
      <c r="H10" s="403">
        <f>IF(ISNUMBER(G10/B10),G10/B10," - ")</f>
        <v>5</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2436</v>
      </c>
      <c r="D12" s="403">
        <f>IF(ISNUMBER(C12/Datos!BH12),C12/Datos!BH12," - ")</f>
        <v>1218</v>
      </c>
      <c r="E12" s="402">
        <f>IF(ISNUMBER(IF(J_V="SI",Datos!J12,Datos!J12+Datos!Z12)),IF(J_V="SI",Datos!J12,Datos!J12+Datos!Z12)," - ")</f>
        <v>1869</v>
      </c>
      <c r="F12" s="403">
        <f>IF(ISNUMBER(E12/B12),E12/B12," - ")</f>
        <v>934.5</v>
      </c>
      <c r="G12" s="402">
        <f>IF(ISNUMBER(IF(J_V="SI",Datos!K12,Datos!K12+Datos!AA12)),IF(J_V="SI",Datos!K12,Datos!K12+Datos!AA12)," - ")</f>
        <v>1161</v>
      </c>
      <c r="H12" s="403">
        <f>IF(ISNUMBER(G12/B12),G12/B12," - ")</f>
        <v>580.5</v>
      </c>
      <c r="I12" s="402">
        <f>IF(ISNUMBER(IF(J_V="SI",Datos!L12,Datos!L12+Datos!AB12)),IF(J_V="SI",Datos!L12,Datos!L12+Datos!AB12)," - ")</f>
        <v>3144</v>
      </c>
      <c r="J12" s="403">
        <f>IF(ISNUMBER(I12/B12),I12/B12," - ")</f>
        <v>1572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2450</v>
      </c>
      <c r="D13" s="849" t="str">
        <f>IF(ISNUMBER(C13/Datos!BI13),C13/Datos!BI13," - ")</f>
        <v xml:space="preserve"> - </v>
      </c>
      <c r="E13" s="848">
        <f>SUBTOTAL(9,E8:E12)</f>
        <v>1889</v>
      </c>
      <c r="F13" s="849">
        <f>IF(ISNUMBER(E13/B13),E13/B13," - ")</f>
        <v>944.5</v>
      </c>
      <c r="G13" s="848">
        <f>SUBTOTAL(9,G8:G12)</f>
        <v>1166</v>
      </c>
      <c r="H13" s="849">
        <f>IF(ISNUMBER(G13/B13),G13/B13," - ")</f>
        <v>583</v>
      </c>
      <c r="I13" s="848">
        <f>SUBTOTAL(9,I8:I12)</f>
        <v>3173</v>
      </c>
      <c r="J13" s="849">
        <f>IF(ISNUMBER(I13/B13),I13/B13," - ")</f>
        <v>1586.5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1222</v>
      </c>
      <c r="D16" s="403">
        <f>IF(ISNUMBER(C16/Datos!BH16),C16/Datos!BH16," - ")</f>
        <v>611</v>
      </c>
      <c r="E16" s="402">
        <f>IF(ISNUMBER(IF(D_I="SI",Datos!J16,Datos!J16+Datos!AD16)),IF(D_I="SI",Datos!J16,Datos!J16+Datos!AD16)," - ")</f>
        <v>2936</v>
      </c>
      <c r="F16" s="403">
        <f>IF(ISNUMBER(E16/B16),E16/B16," - ")</f>
        <v>1468</v>
      </c>
      <c r="G16" s="402">
        <f>IF(ISNUMBER(IF(D_I="SI",Datos!K16,Datos!K16+Datos!AE16)),IF(D_I="SI",Datos!K16,Datos!K16+Datos!AE16)," - ")</f>
        <v>2739</v>
      </c>
      <c r="H16" s="403">
        <f>IF(ISNUMBER(G16/B16),G16/B16," - ")</f>
        <v>1369.5</v>
      </c>
      <c r="I16" s="402">
        <f>IF(ISNUMBER(IF(D_I="SI",Datos!L16,Datos!L16+Datos!AF16)),IF(D_I="SI",Datos!L16,Datos!L16+Datos!AF16)," - ")</f>
        <v>1421</v>
      </c>
      <c r="J16" s="403">
        <f>IF(ISNUMBER(I16/B16),I16/B16," - ")</f>
        <v>710.5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42</v>
      </c>
      <c r="D17" s="403">
        <f>IF(ISNUMBER(C17/Datos!BH17),C17/Datos!BH17," - ")</f>
        <v>42</v>
      </c>
      <c r="E17" s="402">
        <f>IF(ISNUMBER(IF(D_I="SI",Datos!J17,Datos!J17+Datos!AD17)),IF(D_I="SI",Datos!J17,Datos!J17+Datos!AD17)," - ")</f>
        <v>206</v>
      </c>
      <c r="F17" s="403">
        <f>IF(ISNUMBER(E17/B17),E17/B17," - ")</f>
        <v>206</v>
      </c>
      <c r="G17" s="402">
        <f>IF(ISNUMBER(IF(D_I="SI",Datos!K17,Datos!K17+Datos!AE17)),IF(D_I="SI",Datos!K17,Datos!K17+Datos!AE17)," - ")</f>
        <v>184</v>
      </c>
      <c r="H17" s="403">
        <f>IF(ISNUMBER(G17/B17),G17/B17," - ")</f>
        <v>184</v>
      </c>
      <c r="I17" s="402">
        <f>IF(ISNUMBER(IF(D_I="SI",Datos!L17,Datos!L17+Datos!AF17)),IF(D_I="SI",Datos!L17,Datos!L17+Datos!AF17)," - ")</f>
        <v>94</v>
      </c>
      <c r="J17" s="403">
        <f>IF(ISNUMBER(I17/B17),I17/B17," - ")</f>
        <v>94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1264</v>
      </c>
      <c r="D18" s="849" t="str">
        <f>IF(ISNUMBER(C18/Datos!BI18),C18/Datos!BI18," - ")</f>
        <v xml:space="preserve"> - </v>
      </c>
      <c r="E18" s="848">
        <f>SUBTOTAL(9,E14:E17)</f>
        <v>3142</v>
      </c>
      <c r="F18" s="849">
        <f>IF(ISNUMBER(E18/B18),E18/B18," - ")</f>
        <v>1571</v>
      </c>
      <c r="G18" s="848">
        <f>SUBTOTAL(9,G14:G17)</f>
        <v>2923</v>
      </c>
      <c r="H18" s="849">
        <f>IF(ISNUMBER(G18/B18),G18/B18," - ")</f>
        <v>1461.5</v>
      </c>
      <c r="I18" s="848">
        <f>SUBTOTAL(9,I14:I17)</f>
        <v>1515</v>
      </c>
      <c r="J18" s="849">
        <f>IF(ISNUMBER(I18/B18),I18/B18," - ")</f>
        <v>757.5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3714</v>
      </c>
      <c r="D19" s="794" t="str">
        <f>IF(ISNUMBER(C19/Datos!BI19),C19/Datos!BI19," - ")</f>
        <v xml:space="preserve"> - </v>
      </c>
      <c r="E19" s="793">
        <f>SUBTOTAL(9,E9:E18)</f>
        <v>5031</v>
      </c>
      <c r="F19" s="794">
        <f>IF(ISNUMBER(E19/B19),E19/B19," - ")</f>
        <v>2515.5</v>
      </c>
      <c r="G19" s="793">
        <f>SUBTOTAL(9,G9:G18)</f>
        <v>4089</v>
      </c>
      <c r="H19" s="794">
        <f>IF(ISNUMBER(G19/B19),G19/B19," - ")</f>
        <v>2044.5</v>
      </c>
      <c r="I19" s="793">
        <f>SUBTOTAL(9,I9:I18)</f>
        <v>4688</v>
      </c>
      <c r="J19" s="794">
        <f>IF(ISNUMBER(I19/B19),I19/B19," - ")</f>
        <v>2344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PTjR+BZcnHhrB7MZdHroUDMQvl/v33s4ME/KyrbPve0Y9HEwR+aD2xP8/gcQYrPUHZ9OLGDA/fD5cdDyY5SEw==" saltValue="eWd1qhoiZrNhefkxXg6a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MORON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63.8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232</v>
      </c>
      <c r="AM12" s="689">
        <f>IF(ISNUMBER(Datos!N12+DatosP!N16),Datos!N12+DatosP!N16," - ")</f>
        <v>389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29.788113695090441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5.4786620530565169E-2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273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177</v>
      </c>
      <c r="AE13" s="938">
        <f t="shared" si="1"/>
        <v>0</v>
      </c>
      <c r="AF13" s="938">
        <f t="shared" si="1"/>
        <v>29</v>
      </c>
      <c r="AG13" s="938">
        <f t="shared" si="1"/>
        <v>0</v>
      </c>
      <c r="AH13" s="938">
        <f t="shared" si="1"/>
        <v>1829</v>
      </c>
      <c r="AI13" s="938">
        <f t="shared" si="1"/>
        <v>0</v>
      </c>
      <c r="AJ13" s="938">
        <f t="shared" si="1"/>
        <v>0</v>
      </c>
      <c r="AK13" s="938">
        <f t="shared" si="1"/>
        <v>0</v>
      </c>
      <c r="AL13" s="938">
        <f t="shared" si="1"/>
        <v>235</v>
      </c>
      <c r="AM13" s="938">
        <f t="shared" si="1"/>
        <v>390</v>
      </c>
      <c r="AN13" s="938">
        <f t="shared" si="1"/>
        <v>0</v>
      </c>
      <c r="AO13" s="938">
        <f t="shared" si="1"/>
        <v>0</v>
      </c>
      <c r="AP13" s="943">
        <f>IF(ISNUMBER(((Datos!L13/Datos!K13)*11)/factor_trimestre),((Datos!L13/Datos!K13)*11)/factor_trimestre," - ")</f>
        <v>29.144534778681123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-0.35714285714285715</v>
      </c>
      <c r="AU13" s="938" t="str">
        <f>IF(ISNUMBER((DatosP!#REF!-DatosP!#REF!+DatosP!#REF!)/(DatosP!#REF!+DatosP!#REF!-DatosP!#REF!-DatosP!#REF!)),(DatosP!#REF!-DatosP!#REF!+DatosP!#REF!)/(DatosP!#REF!+DatosP!#REF!-DatosP!#REF!-DatosP!#REF!)," - ")</f>
        <v xml:space="preserve"> - </v>
      </c>
      <c r="AV13" s="944">
        <f>SUBTOTAL(9,AV9:AV12)</f>
        <v>5.4786620530565169E-2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5.7013342456380434</v>
      </c>
      <c r="AQ18" s="943">
        <f>IF(ISNUMBER(((Datos!M18/Datos!L18)*11)/factor_trimestre),((Datos!M18/Datos!L18)*11)/factor_trimestre," - ")</f>
        <v>1.9240924092409242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0.33333333333333331</v>
      </c>
      <c r="AW18" s="945">
        <f>IF(ISNUMBER((Datos!Q18-Datos!R18)/(Datos!S18-Datos!Q18+Datos!R18)),(Datos!Q18-Datos!R18)/(Datos!S18-Datos!Q18+Datos!R18)," - ")</f>
        <v>-0.10696095076400679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273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177</v>
      </c>
      <c r="AE19" s="956">
        <f t="shared" si="5"/>
        <v>0</v>
      </c>
      <c r="AF19" s="957">
        <f t="shared" si="5"/>
        <v>29</v>
      </c>
      <c r="AG19" s="957">
        <f t="shared" si="5"/>
        <v>0</v>
      </c>
      <c r="AH19" s="957">
        <f t="shared" si="5"/>
        <v>1829</v>
      </c>
      <c r="AI19" s="957">
        <f t="shared" si="5"/>
        <v>0</v>
      </c>
      <c r="AJ19" s="958">
        <f t="shared" si="5"/>
        <v>0</v>
      </c>
      <c r="AK19" s="958">
        <f t="shared" si="5"/>
        <v>0</v>
      </c>
      <c r="AL19" s="950">
        <f t="shared" si="5"/>
        <v>235</v>
      </c>
      <c r="AM19" s="950">
        <f t="shared" si="5"/>
        <v>390</v>
      </c>
      <c r="AN19" s="950">
        <f t="shared" si="5"/>
        <v>0</v>
      </c>
      <c r="AO19" s="950">
        <f t="shared" si="5"/>
        <v>0</v>
      </c>
      <c r="AP19" s="950">
        <f>IF(ISNUMBER(((Datos!L19/Datos!K19)*11)/factor_trimestre),((Datos!L19/Datos!K19)*11)/factor_trimestre," - ")</f>
        <v>12.140942928039703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-0.35714285714285715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7.1661237785016291E-2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133.9564605882573</v>
      </c>
      <c r="AM21" s="735"/>
      <c r="AN21" s="735">
        <f>IF(ISNUMBER(STDEV(AN8:AN18)),STDEV(AN8:AN18),"-")</f>
        <v>0</v>
      </c>
      <c r="AO21" s="741">
        <f>IF(ISNUMBER(STDEV(AO8:AO18)),STDEV(AO8:AO18),"-")</f>
        <v>0</v>
      </c>
      <c r="AP21" s="778">
        <f>IF(ISNUMBER(STDEV(AP8:AP18)),STDEV(AP8:AP18),"-")</f>
        <v>23.91553789112475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OYun74aHcpMnfweT6xF3Xbcz3De6jZlbAUqOeSWmjq7RRwxnri5u9y/+7LIE91+8582yw/IxRPqDPZsmqu8rQ==" saltValue="IWOZpTplFVWH9N/HzB8K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MORON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oEwMmYtQIG+c7gmXVaYuaTZJnMPQlswv+DeTlHAYnbFwfb8w2cN5e5SCtZhlvDgAun0TKgA2KIwlEga6PXy0g==" saltValue="/8K9r5fVAQUGA6nie/+u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MORON DE LA FRONTERA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232</v>
      </c>
      <c r="E12" s="403">
        <f t="shared" si="0"/>
        <v>116</v>
      </c>
      <c r="F12" s="402">
        <f>IF(ISNUMBER(Datos!N12),Datos!N12," - ")</f>
        <v>389</v>
      </c>
      <c r="G12" s="403">
        <f t="shared" si="1"/>
        <v>194.5</v>
      </c>
      <c r="H12" s="402">
        <f>IF(ISNUMBER(Datos!O12),Datos!O12," - ")</f>
        <v>399</v>
      </c>
      <c r="I12" s="403">
        <f t="shared" si="2"/>
        <v>199.5</v>
      </c>
      <c r="BZ12" s="1185">
        <f>Datos!EZ12</f>
        <v>0</v>
      </c>
    </row>
    <row r="13" spans="1:78" ht="14.25" thickTop="1" thickBot="1">
      <c r="A13" s="847" t="str">
        <f>Datos!A13</f>
        <v>TOTAL</v>
      </c>
      <c r="B13" s="848">
        <f>Datos!AP13</f>
        <v>2</v>
      </c>
      <c r="C13" s="850">
        <f>Datos!AR13</f>
        <v>2</v>
      </c>
      <c r="D13" s="848">
        <f>SUBTOTAL(9,D9:D12)</f>
        <v>235</v>
      </c>
      <c r="E13" s="849">
        <f t="shared" si="0"/>
        <v>117.5</v>
      </c>
      <c r="F13" s="848">
        <f>SUBTOTAL(9,F9:F12)</f>
        <v>390</v>
      </c>
      <c r="G13" s="849">
        <f t="shared" si="1"/>
        <v>195</v>
      </c>
      <c r="H13" s="848">
        <f>SUBTOTAL(9,H9:H12)</f>
        <v>399</v>
      </c>
      <c r="I13" s="849">
        <f>IF(ISNUMBER(H13/B13),H13/B13," - ")</f>
        <v>199.5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238</v>
      </c>
      <c r="E16" s="403">
        <f t="shared" si="3"/>
        <v>119</v>
      </c>
      <c r="F16" s="402">
        <f>IF(ISNUMBER(Datos!N16),Datos!N16," - ")</f>
        <v>1912</v>
      </c>
      <c r="G16" s="403">
        <f t="shared" si="4"/>
        <v>956</v>
      </c>
      <c r="H16" s="402">
        <f>IF(ISNUMBER(Datos!O16),Datos!O16," - ")</f>
        <v>8</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27</v>
      </c>
      <c r="E17" s="403">
        <f>IF(ISNUMBER(D17/B17),D17/B17," - ")</f>
        <v>27</v>
      </c>
      <c r="F17" s="402">
        <f>IF(ISNUMBER(Datos!N17),Datos!N17," - ")</f>
        <v>84</v>
      </c>
      <c r="G17" s="403">
        <f>IF(ISNUMBER(F17/B17),F17/B17," - ")</f>
        <v>84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265</v>
      </c>
      <c r="E18" s="849">
        <f t="shared" si="3"/>
        <v>132.5</v>
      </c>
      <c r="F18" s="848">
        <f>SUBTOTAL(9,F15:F17)</f>
        <v>1996</v>
      </c>
      <c r="G18" s="849">
        <f t="shared" si="4"/>
        <v>998</v>
      </c>
      <c r="H18" s="848">
        <f>SUBTOTAL(9,H15:H17)</f>
        <v>8</v>
      </c>
      <c r="I18" s="849">
        <f>IF(ISNUMBER(H18/B18),H18/B18," - ")</f>
        <v>4</v>
      </c>
      <c r="BZ18" s="1185"/>
    </row>
    <row r="19" spans="1:78" ht="14.25" thickTop="1" thickBot="1">
      <c r="A19" s="792" t="str">
        <f>Datos!A19</f>
        <v>TOTAL JURISDICCIONES</v>
      </c>
      <c r="B19" s="793">
        <f>Datos!AP19</f>
        <v>2</v>
      </c>
      <c r="C19" s="793">
        <f>Datos!AR19</f>
        <v>2</v>
      </c>
      <c r="D19" s="793">
        <f>SUBTOTAL(9,D8:D18)</f>
        <v>500</v>
      </c>
      <c r="E19" s="794">
        <f>IF(ISNUMBER(D19/B19),D19/B19," - ")</f>
        <v>250</v>
      </c>
      <c r="F19" s="793">
        <f>SUBTOTAL(9,F8:F18)</f>
        <v>2386</v>
      </c>
      <c r="G19" s="794">
        <f>IF(ISNUMBER(F19/B19),F19/B19," - ")</f>
        <v>1193</v>
      </c>
      <c r="H19" s="793">
        <f>SUBTOTAL(9,H8:H18)</f>
        <v>407</v>
      </c>
      <c r="I19" s="794">
        <f>IF(ISNUMBER(H19/B19),H19/B19," - ")</f>
        <v>203.5</v>
      </c>
    </row>
    <row r="22" spans="1:78">
      <c r="A22" s="390" t="str">
        <f>Criterios!A4</f>
        <v>Fecha Informe: 18 mar. 2026</v>
      </c>
    </row>
    <row r="27" spans="1:78">
      <c r="A27" s="413"/>
    </row>
  </sheetData>
  <sheetProtection algorithmName="SHA-512" hashValue="RAf3ccyYXzebINtSo0mMihAIPQCG/C5889mETkk53uiHD60uO0pwLrhG3NckEzsTf9YMAwk1XEG1qDsa3Yojrg==" saltValue="K+6KnakDZ7TJogf04AK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MORON DE LA FRONTERA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272</v>
      </c>
      <c r="C12" s="433">
        <f>IF(ISNUMBER(Datos!Q12),Datos!Q12," - ")</f>
        <v>177</v>
      </c>
      <c r="D12" s="407">
        <f>IF(ISNUMBER(Datos!R12),Datos!R12," - ")</f>
        <v>1829</v>
      </c>
    </row>
    <row r="13" spans="1:4" ht="14.25" thickTop="1" thickBot="1">
      <c r="A13" s="847" t="str">
        <f>Datos!A13</f>
        <v>TOTAL</v>
      </c>
      <c r="B13" s="848">
        <f>SUBTOTAL(9,B9:B12)</f>
        <v>273</v>
      </c>
      <c r="C13" s="852">
        <f>SUBTOTAL(9,C9:C12)</f>
        <v>177</v>
      </c>
      <c r="D13" s="850">
        <f>SUBTOTAL(9,D9:D12)</f>
        <v>1830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54</v>
      </c>
      <c r="C16" s="433">
        <f>IF(ISNUMBER(Datos!Q16),Datos!Q16," - ")</f>
        <v>16</v>
      </c>
      <c r="D16" s="407">
        <f>IF(ISNUMBER(Datos!R16),Datos!R16," - ")</f>
        <v>142</v>
      </c>
    </row>
    <row r="17" spans="1:4" ht="13.5" thickBot="1">
      <c r="A17" s="401" t="str">
        <f>Datos!A17</f>
        <v>Jdos. Violencia contra la mujer/Secc Viol. TI.</v>
      </c>
      <c r="B17" s="432">
        <f>IF(ISNUMBER(Datos!P17),Datos!P17," - ")</f>
        <v>0</v>
      </c>
      <c r="C17" s="433">
        <f>IF(ISNUMBER(Datos!Q17),Datos!Q17," - ")</f>
        <v>2</v>
      </c>
      <c r="D17" s="407">
        <f>IF(ISNUMBER(Datos!R17),Datos!R17," - ")</f>
        <v>2</v>
      </c>
    </row>
    <row r="18" spans="1:4" ht="14.25" thickTop="1" thickBot="1">
      <c r="A18" s="847" t="str">
        <f>Datos!A18</f>
        <v>TOTAL</v>
      </c>
      <c r="B18" s="848">
        <f>SUBTOTAL(9,B15:B17)</f>
        <v>54</v>
      </c>
      <c r="C18" s="852">
        <f>SUBTOTAL(9,C15:C17)</f>
        <v>18</v>
      </c>
      <c r="D18" s="850">
        <f>SUBTOTAL(9,D15:D17)</f>
        <v>144</v>
      </c>
    </row>
    <row r="19" spans="1:4" ht="16.5" customHeight="1" thickTop="1" thickBot="1">
      <c r="A19" s="792" t="str">
        <f>Datos!A19</f>
        <v>TOTAL JURISDICCIONES</v>
      </c>
      <c r="B19" s="797">
        <f>SUBTOTAL(9,B8:B18)</f>
        <v>327</v>
      </c>
      <c r="C19" s="798">
        <f>SUBTOTAL(9,C8:C18)</f>
        <v>195</v>
      </c>
      <c r="D19" s="799">
        <f>SUBTOTAL(9,D8:D18)</f>
        <v>1974</v>
      </c>
    </row>
    <row r="20" spans="1:4" ht="7.5" customHeight="1"/>
    <row r="21" spans="1:4" ht="6" customHeight="1"/>
    <row r="22" spans="1:4">
      <c r="A22" s="390" t="str">
        <f>Criterios!A4</f>
        <v>Fecha Informe: 18 mar. 2026</v>
      </c>
    </row>
    <row r="27" spans="1:4">
      <c r="A27" s="413"/>
    </row>
  </sheetData>
  <sheetProtection algorithmName="SHA-512" hashValue="A3MOxnqEdnRZMYS5Qyu8wrKYD/V9iWt3PE3sBfVOZ49rB2iTj8GlD4vEXmS2osC647UybjEjCj8gTm5Kdt8vJQ==" saltValue="0joY40Qj1qkq16iC/ej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MORON DE LA FRONTERA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0.16666666666666666</v>
      </c>
      <c r="C10" s="455">
        <f>IF(ISNUMBER((Datos!J10-Datos!T10)/Datos!T10),(Datos!J10-Datos!T10)/Datos!T10," - ")</f>
        <v>0.42857142857142855</v>
      </c>
      <c r="D10" s="455">
        <f>IF(ISNUMBER((Datos!K10-Datos!U10)/Datos!U10),(Datos!K10-Datos!U10)/Datos!U10," - ")</f>
        <v>-0.58333333333333337</v>
      </c>
      <c r="E10" s="455">
        <f>IF(ISNUMBER((Datos!L10-Datos!V10)/Datos!V10),(Datos!L10-Datos!V10)/Datos!V10," - ")</f>
        <v>1.0714285714285714</v>
      </c>
      <c r="F10" s="455">
        <f>IF(ISNUMBER((Datos!M10-Datos!W10)/Datos!W10),(Datos!M10-Datos!W10)/Datos!W10," - ")</f>
        <v>-0.4</v>
      </c>
      <c r="G10" s="456" t="str">
        <f>IF(ISNUMBER((Datos!N10-Datos!X10)/Datos!X10),(Datos!N10-Datos!X10)/Datos!X10," - ")</f>
        <v xml:space="preserve"> - </v>
      </c>
      <c r="H10" s="454">
        <f>IF(ISNUMBER(((NºAsuntos!G10/NºAsuntos!E10)-Datos!BD10)/Datos!BD10),((NºAsuntos!G10/NºAsuntos!E10)-Datos!BD10)/Datos!BD10," - ")</f>
        <v>-0.70833333333333337</v>
      </c>
      <c r="I10" s="455">
        <f>IF(ISNUMBER(((NºAsuntos!I10/NºAsuntos!G10)-Datos!BE10)/Datos!BE10),((NºAsuntos!I10/NºAsuntos!G10)-Datos!BE10)/Datos!BE10," - ")</f>
        <v>3.9714285714285706</v>
      </c>
      <c r="J10" s="460">
        <f>IF(ISNUMBER((('Resol  Asuntos'!D10/NºAsuntos!G10)-Datos!BF10)/Datos!BF10),(('Resol  Asuntos'!D10/NºAsuntos!G10)-Datos!BF10)/Datos!BF10," - ")</f>
        <v>0.43999999999999989</v>
      </c>
      <c r="K10" s="461">
        <f>IF(ISNUMBER((((NºAsuntos!C10+NºAsuntos!E10)/NºAsuntos!G10)-Datos!BG10)/Datos!BG10),(((NºAsuntos!C10+NºAsuntos!E10)/NºAsuntos!G10)-Datos!BG10)/Datos!BG10," - ")</f>
        <v>2.1384615384615384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0.24667349027635618</v>
      </c>
      <c r="C12" s="455">
        <f>IF(ISNUMBER(
   IF(J_V="SI",(Datos!J12-Datos!T12)/Datos!T12,(Datos!J12+Datos!Z12-(Datos!T12+Datos!AH12))/(Datos!T12+Datos!AH12))
     ),IF(J_V="SI",(Datos!J12-Datos!T12)/Datos!T12,(Datos!J12+Datos!Z12-(Datos!T12+Datos!AH12))/(Datos!T12+Datos!AH12))," - ")</f>
        <v>-3.5105833763551884E-2</v>
      </c>
      <c r="D12" s="455">
        <f>IF(ISNUMBER(
   IF(J_V="SI",(Datos!K12-Datos!U12)/Datos!U12,(Datos!K12+Datos!AA12-(Datos!U12+Datos!AI12))/(Datos!U12+Datos!AI12))
     ),IF(J_V="SI",(Datos!K12-Datos!U12)/Datos!U12,(Datos!K12+Datos!AA12-(Datos!U12+Datos!AI12))/(Datos!U12+Datos!AI12))," - ")</f>
        <v>-0.24463240078074169</v>
      </c>
      <c r="E12" s="455">
        <f>IF(ISNUMBER(
   IF(J_V="SI",(Datos!L12-Datos!V12)/Datos!V12,(Datos!L12+Datos!AB12-(Datos!V12+Datos!AJ12))/(Datos!V12+Datos!AJ12))
     ),IF(J_V="SI",(Datos!L12-Datos!V12)/Datos!V12,(Datos!L12+Datos!AB12-(Datos!V12+Datos!AJ12))/(Datos!V12+Datos!AJ12))," - ")</f>
        <v>0.29064039408866993</v>
      </c>
      <c r="F12" s="455">
        <f>IF(ISNUMBER((Datos!M12-Datos!W12)/Datos!W12),(Datos!M12-Datos!W12)/Datos!W12," - ")</f>
        <v>-4.2918454935622317E-3</v>
      </c>
      <c r="G12" s="456">
        <f>IF(ISNUMBER((Datos!N12-Datos!X12)/Datos!X12),(Datos!N12-Datos!X12)/Datos!X12," - ")</f>
        <v>-0.27560521415270017</v>
      </c>
      <c r="H12" s="454">
        <f>IF(ISNUMBER(((NºAsuntos!G12/NºAsuntos!E12)-Datos!BD12)/Datos!BD12),((NºAsuntos!G12/NºAsuntos!E12)-Datos!BD12)/Datos!BD12," - ")</f>
        <v>-0.21714979149935618</v>
      </c>
      <c r="I12" s="455">
        <f>IF(ISNUMBER(((NºAsuntos!I12/NºAsuntos!G12)-Datos!BE12)/Datos!BE12),((NºAsuntos!I12/NºAsuntos!G12)-Datos!BE12)/Datos!BE12," - ")</f>
        <v>0.70862556909068541</v>
      </c>
      <c r="J12" s="460">
        <f>IF(ISNUMBER((('Resol  Asuntos'!D12/NºAsuntos!G12)-Datos!BF12)/Datos!BF12),(('Resol  Asuntos'!D12/NºAsuntos!G12)-Datos!BF12)/Datos!BF12," - ")</f>
        <v>-0.42805357867503291</v>
      </c>
      <c r="K12" s="461">
        <f>IF(ISNUMBER((((NºAsuntos!C12+NºAsuntos!E12)/NºAsuntos!G12)-Datos!BG12)/Datos!BG12),(((NºAsuntos!C12+NºAsuntos!E12)/NºAsuntos!G12)-Datos!BG12)/Datos!BG12," - ")</f>
        <v>0.46471649609481108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0.24618514750762971</v>
      </c>
      <c r="C13" s="854">
        <f>IF(ISNUMBER(
   IF(J_V="SI",(Datos!J13-Datos!T13)/Datos!T13,(Datos!J13+Datos!Z13-(Datos!T13+Datos!AH13))/(Datos!T13+Datos!AH13))
     ),IF(J_V="SI",(Datos!J13-Datos!T13)/Datos!T13,(Datos!J13+Datos!Z13-(Datos!T13+Datos!AH13))/(Datos!T13+Datos!AH13))," - ")</f>
        <v>-3.1778575089697593E-2</v>
      </c>
      <c r="D13" s="854">
        <f>IF(ISNUMBER(
   IF(J_V="SI",(Datos!K13-Datos!U13)/Datos!U13,(Datos!K13+Datos!AA13-(Datos!U13+Datos!AI13))/(Datos!U13+Datos!AI13))
     ),IF(J_V="SI",(Datos!K13-Datos!U13)/Datos!U13,(Datos!K13+Datos!AA13-(Datos!U13+Datos!AI13))/(Datos!U13+Datos!AI13))," - ")</f>
        <v>-0.24725629438347321</v>
      </c>
      <c r="E13" s="854">
        <f>IF(ISNUMBER(
   IF(J_V="SI",(Datos!L13-Datos!V13)/Datos!V13,(Datos!L13+Datos!AB13-(Datos!V13+Datos!AJ13))/(Datos!V13+Datos!AJ13))
     ),IF(J_V="SI",(Datos!L13-Datos!V13)/Datos!V13,(Datos!L13+Datos!AB13-(Datos!V13+Datos!AJ13))/(Datos!V13+Datos!AJ13))," - ")</f>
        <v>0.29510204081632652</v>
      </c>
      <c r="F13" s="855">
        <f>IF(ISNUMBER((Datos!M13-Datos!W13)/Datos!W13),(Datos!M13-Datos!W13)/Datos!W13," - ")</f>
        <v>-1.2605042016806723E-2</v>
      </c>
      <c r="G13" s="856">
        <f>IF(ISNUMBER((Datos!N13-Datos!X13)/Datos!X13),(Datos!N13-Datos!X13)/Datos!X13," - ")</f>
        <v>-0.27374301675977653</v>
      </c>
      <c r="H13" s="856">
        <f>IF(ISNUMBER(((NºAsuntos!G13/NºAsuntos!E13)-Datos!BD13)/Datos!BD13),((NºAsuntos!G13/NºAsuntos!E13)-Datos!BD13)/Datos!BD13," - ")</f>
        <v>-0.22255004253158089</v>
      </c>
      <c r="I13" s="856">
        <f>IF(ISNUMBER(((NºAsuntos!I13/NºAsuntos!G13)-Datos!BE13)/Datos!BE13),((NºAsuntos!I13/NºAsuntos!G13)-Datos!BE13)/Datos!BE13," - ")</f>
        <v>0.72050862883746969</v>
      </c>
      <c r="J13" s="856">
        <f>IF(ISNUMBER((('Resol  Asuntos'!D13/NºAsuntos!G13)-Datos!BF13)/Datos!BF13),(('Resol  Asuntos'!D13/NºAsuntos!G13)-Datos!BF13)/Datos!BF13," - ")</f>
        <v>-0.42400137980796626</v>
      </c>
      <c r="K13" s="856">
        <f>IF(ISNUMBER((((NºAsuntos!C13+NºAsuntos!E13)/NºAsuntos!G13)-Datos!BG13)/Datos!BG13),(((NºAsuntos!C13+NºAsuntos!E13)/NºAsuntos!G13)-Datos!BG13)/Datos!BG13," - ")</f>
        <v>0.47159717657692141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0.22690763052208834</v>
      </c>
      <c r="C16" s="455">
        <f>IF(ISNUMBER(
   IF(D_I="SI",(Datos!J16-Datos!T16)/Datos!T16,(Datos!J16+Datos!AD16-(Datos!T16+Datos!AL16))/(Datos!T16+Datos!AL16))
     ),IF(D_I="SI",(Datos!J16-Datos!T16)/Datos!T16,(Datos!J16+Datos!AD16-(Datos!T16+Datos!AL16))/(Datos!T16+Datos!AL16))," - ")</f>
        <v>3.4166960197252551E-2</v>
      </c>
      <c r="D16" s="455">
        <f>IF(ISNUMBER(
   IF(D_I="SI",(Datos!K16-Datos!U16)/Datos!U16,(Datos!K16+Datos!AE16-(Datos!U16+Datos!AM16))/(Datos!U16+Datos!AM16))
     ),IF(D_I="SI",(Datos!K16-Datos!U16)/Datos!U16,(Datos!K16+Datos!AE16-(Datos!U16+Datos!AM16))/(Datos!U16+Datos!AM16))," - ")</f>
        <v>6.6588785046728965E-2</v>
      </c>
      <c r="E16" s="455">
        <f>IF(ISNUMBER(
   IF(D_I="SI",(Datos!L16-Datos!V16)/Datos!V16,(Datos!L16+Datos!AF16-(Datos!V16+Datos!AN16))/(Datos!V16+Datos!AN16))
     ),IF(D_I="SI",(Datos!L16-Datos!V16)/Datos!V16,(Datos!L16+Datos!AF16-(Datos!V16+Datos!AN16))/(Datos!V16+Datos!AN16))," - ")</f>
        <v>0.16284779050736498</v>
      </c>
      <c r="F16" s="455">
        <f>IF(ISNUMBER((Datos!M16-Datos!W16)/Datos!W16),(Datos!M16-Datos!W16)/Datos!W16," - ")</f>
        <v>-0.25624999999999998</v>
      </c>
      <c r="G16" s="456">
        <f>IF(ISNUMBER((Datos!N16-Datos!X16)/Datos!X16),(Datos!N16-Datos!X16)/Datos!X16," - ")</f>
        <v>0.14559616536848413</v>
      </c>
      <c r="H16" s="454">
        <f>IF(ISNUMBER(((NºAsuntos!G16/NºAsuntos!E16)-Datos!BD16)/Datos!BD16),((NºAsuntos!G16/NºAsuntos!E16)-Datos!BD16)/Datos!BD16," - ")</f>
        <v>3.1350667829585725E-2</v>
      </c>
      <c r="I16" s="455">
        <f>IF(ISNUMBER(((NºAsuntos!I16/NºAsuntos!G16)-Datos!BE16)/Datos!BE16),((NºAsuntos!I16/NºAsuntos!G16)-Datos!BE16)/Datos!BE16," - ")</f>
        <v>9.0249407091242365E-2</v>
      </c>
      <c r="J16" s="460">
        <f>IF(ISNUMBER((('Resol  Asuntos'!D16/NºAsuntos!G16)-Datos!BF16)/Datos!BF16),(('Resol  Asuntos'!D16/NºAsuntos!G16)-Datos!BF16)/Datos!BF16," - ")</f>
        <v>-0.30268346111719613</v>
      </c>
      <c r="K16" s="461">
        <f>IF(ISNUMBER((((NºAsuntos!C16+NºAsuntos!E16)/NºAsuntos!G16)-Datos!BG16)/Datos!BG16),(((NºAsuntos!C16+NºAsuntos!E16)/NºAsuntos!G16)-Datos!BG16)/Datos!BG16," - ")</f>
        <v>1.6534455946340766E-2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v>
      </c>
      <c r="C17" s="455">
        <f>IF(ISNUMBER(
   IF(D_I="SI",(Datos!J17-Datos!T17)/Datos!T17,(Datos!J17+Datos!AD17-(Datos!T17+Datos!AL17))/(Datos!T17+Datos!AL17))
     ),IF(D_I="SI",(Datos!J17-Datos!T17)/Datos!T17,(Datos!J17+Datos!AD17-(Datos!T17+Datos!AL17))/(Datos!T17+Datos!AL17))," - ")</f>
        <v>9.5744680851063829E-2</v>
      </c>
      <c r="D17" s="455">
        <f>IF(ISNUMBER(
   IF(D_I="SI",(Datos!K17-Datos!U17)/Datos!U17,(Datos!K17+Datos!AE17-(Datos!U17+Datos!AM17))/(Datos!U17+Datos!AM17))
     ),IF(D_I="SI",(Datos!K17-Datos!U17)/Datos!U17,(Datos!K17+Datos!AE17-(Datos!U17+Datos!AM17))/(Datos!U17+Datos!AM17))," - ")</f>
        <v>-8.9108910891089105E-2</v>
      </c>
      <c r="E17" s="455">
        <f>IF(ISNUMBER(
   IF(D_I="SI",(Datos!L17-Datos!V17)/Datos!V17,(Datos!L17+Datos!AF17-(Datos!V17+Datos!AN17))/(Datos!V17+Datos!AN17))
     ),IF(D_I="SI",(Datos!L17-Datos!V17)/Datos!V17,(Datos!L17+Datos!AF17-(Datos!V17+Datos!AN17))/(Datos!V17+Datos!AN17))," - ")</f>
        <v>1.2380952380952381</v>
      </c>
      <c r="F17" s="455">
        <f>IF(ISNUMBER((Datos!M17-Datos!W17)/Datos!W17),(Datos!M17-Datos!W17)/Datos!W17," - ")</f>
        <v>-0.15625</v>
      </c>
      <c r="G17" s="456">
        <f>IF(ISNUMBER((Datos!N17-Datos!X17)/Datos!X17),(Datos!N17-Datos!X17)/Datos!X17," - ")</f>
        <v>-0.32258064516129031</v>
      </c>
      <c r="H17" s="454">
        <f>IF(ISNUMBER(((NºAsuntos!G17/NºAsuntos!E17)-Datos!BD17)/Datos!BD17),((NºAsuntos!G17/NºAsuntos!E17)-Datos!BD17)/Datos!BD17," - ")</f>
        <v>-0.16870133615303279</v>
      </c>
      <c r="I17" s="455">
        <f>IF(ISNUMBER(((NºAsuntos!I17/NºAsuntos!G17)-Datos!BE17)/Datos!BE17),((NºAsuntos!I17/NºAsuntos!G17)-Datos!BE17)/Datos!BE17," - ")</f>
        <v>1.4570393374741206</v>
      </c>
      <c r="J17" s="460">
        <f>IF(ISNUMBER((('Resol  Asuntos'!D17/NºAsuntos!G17)-Datos!BF17)/Datos!BF17),(('Resol  Asuntos'!D17/NºAsuntos!G17)-Datos!BF17)/Datos!BF17," - ")</f>
        <v>-7.3709239130434714E-2</v>
      </c>
      <c r="K17" s="461">
        <f>IF(ISNUMBER((((NºAsuntos!C17+NºAsuntos!E17)/NºAsuntos!G17)-Datos!BG17)/Datos!BG17),(((NºAsuntos!C17+NºAsuntos!E17)/NºAsuntos!G17)-Datos!BG17)/Datos!BG17," - ")</f>
        <v>0.11582323592302213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0.20152091254752852</v>
      </c>
      <c r="C18" s="854">
        <f>IF(ISNUMBER(
   IF(Criterios!B14="SI",(Datos!J18-Datos!T18)/Datos!T18,(Datos!J18+Datos!AD18-(Datos!T18+Datos!AL18))/(Datos!T18+Datos!AL18))
     ),IF(Criterios!B14="SI",(Datos!J18-Datos!T18)/Datos!T18,(Datos!J18+Datos!AD18-(Datos!T18+Datos!AL18))/(Datos!T18+Datos!AL18))," - ")</f>
        <v>3.799141063759498E-2</v>
      </c>
      <c r="D18" s="854">
        <f>IF(ISNUMBER(
   IF(Criterios!B14="SI",(Datos!K18-Datos!U18)/Datos!U18,(Datos!K18+Datos!AE18-(Datos!U18+Datos!AM18))/(Datos!U18+Datos!AM18))
     ),IF(Criterios!B14="SI",(Datos!K18-Datos!U18)/Datos!U18,(Datos!K18+Datos!AE18-(Datos!U18+Datos!AM18))/(Datos!U18+Datos!AM18))," - ")</f>
        <v>5.5234657039711192E-2</v>
      </c>
      <c r="E18" s="854">
        <f>IF(ISNUMBER(
   IF(Criterios!B14="SI",(Datos!L18-Datos!V18)/Datos!V18,(Datos!L18+Datos!AF18-(Datos!V18+Datos!AN18))/(Datos!V18+Datos!AN18))
     ),IF(Criterios!B14="SI",(Datos!L18-Datos!V18)/Datos!V18,(Datos!L18+Datos!AF18-(Datos!V18+Datos!AN18))/(Datos!V18+Datos!AN18))," - ")</f>
        <v>0.19857594936708861</v>
      </c>
      <c r="F18" s="855">
        <f>IF(ISNUMBER((Datos!M18-Datos!W18)/Datos!W18),(Datos!M18-Datos!W18)/Datos!W18," - ")</f>
        <v>-0.24715909090909091</v>
      </c>
      <c r="G18" s="856">
        <f>IF(ISNUMBER((Datos!N18-Datos!X18)/Datos!X18),(Datos!N18-Datos!X18)/Datos!X18," - ")</f>
        <v>0.113218070273285</v>
      </c>
      <c r="H18" s="856">
        <f>IF(ISNUMBER(((NºAsuntos!G18/NºAsuntos!E18)-Datos!BD18)/Datos!BD18),((NºAsuntos!G18/NºAsuntos!E18)-Datos!BD18)/Datos!BD18," - ")</f>
        <v>1.6612128217442911E-2</v>
      </c>
      <c r="I18" s="856">
        <f>IF(ISNUMBER(((NºAsuntos!I18/NºAsuntos!G18)-Datos!BE18)/Datos!BE18),((NºAsuntos!I18/NºAsuntos!G18)-Datos!BE18)/Datos!BE18," - ")</f>
        <v>0.13583830986891407</v>
      </c>
      <c r="J18" s="856">
        <f>IF(ISNUMBER((('Resol  Asuntos'!D18/NºAsuntos!G18)-Datos!BF18)/Datos!BF18),(('Resol  Asuntos'!D18/NºAsuntos!G18)-Datos!BF18)/Datos!BF18," - ")</f>
        <v>-0.2865654060274313</v>
      </c>
      <c r="K18" s="856">
        <f>IF(ISNUMBER((((NºAsuntos!C18+NºAsuntos!E18)/NºAsuntos!G18)-Datos!BG18)/Datos!BG18),(((NºAsuntos!C18+NºAsuntos!E18)/NºAsuntos!G18)-Datos!BG18)/Datos!BG18," - ")</f>
        <v>2.3627020132740977E-2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0.23061630218687873</v>
      </c>
      <c r="C19" s="801">
        <f>IF(ISNUMBER(
   IF(J_V="SI",(Datos!J19-Datos!T19)/Datos!T19,(Datos!J19+Datos!Z19-(Datos!T19+Datos!AH19))/(Datos!T19+Datos!AH19))
     ),IF(J_V="SI",(Datos!J19-Datos!T19)/Datos!T19,(Datos!J19+Datos!Z19-(Datos!T19+Datos!AH19))/(Datos!T19+Datos!AH19))," - ")</f>
        <v>1.064684612294094E-2</v>
      </c>
      <c r="D19" s="801">
        <f>IF(ISNUMBER(
   IF(J_V="SI",(Datos!K19-Datos!U19)/Datos!U19,(Datos!K19+Datos!AA19-(Datos!U19+Datos!AI19))/(Datos!U19+Datos!AI19))
     ),IF(J_V="SI",(Datos!K19-Datos!U19)/Datos!U19,(Datos!K19+Datos!AA19-(Datos!U19+Datos!AI19))/(Datos!U19+Datos!AI19))," - ")</f>
        <v>-5.3253067839777728E-2</v>
      </c>
      <c r="E19" s="801">
        <f>IF(ISNUMBER(
   IF(J_V="SI",(Datos!L19-Datos!V19)/Datos!V19,(Datos!L19+Datos!AB19-(Datos!V19+Datos!AJ19))/(Datos!V19+Datos!AJ19))
     ),IF(J_V="SI",(Datos!L19-Datos!V19)/Datos!V19,(Datos!L19+Datos!AB19-(Datos!V19+Datos!AJ19))/(Datos!V19+Datos!AJ19))," - ")</f>
        <v>0.26225094238018309</v>
      </c>
      <c r="F19" s="802">
        <f>IF(ISNUMBER((Datos!M19-Datos!W19)/Datos!W19),(Datos!M19-Datos!W19)/Datos!W19," - ")</f>
        <v>-0.15254237288135594</v>
      </c>
      <c r="G19" s="803">
        <f>IF(ISNUMBER((Datos!N19-Datos!X19)/Datos!X19),(Datos!N19-Datos!X19)/Datos!X19," - ")</f>
        <v>2.4034334763948499E-2</v>
      </c>
      <c r="H19" s="804">
        <f>IF(ISNUMBER((Tasas!B19-Datos!BD19)/Datos!BD19),(Tasas!B19-Datos!BD19)/Datos!BD19," - ")</f>
        <v>-6.3226748500579161E-2</v>
      </c>
      <c r="I19" s="805">
        <f>IF(ISNUMBER((Tasas!C19-Datos!BE19)/Datos!BE19),(Tasas!C19-Datos!BE19)/Datos!BE19," - ")</f>
        <v>0.33325062854977039</v>
      </c>
      <c r="J19" s="806">
        <f>IF(ISNUMBER((Tasas!D19-Datos!BF19)/Datos!BF19),(Tasas!D19-Datos!BF19)/Datos!BF19," - ")</f>
        <v>-0.40925700698605899</v>
      </c>
      <c r="K19" s="806">
        <f>IF(ISNUMBER((Tasas!E19-Datos!BG19)/Datos!BG19),(Tasas!E19-Datos!BG19)/Datos!BG19," - ")</f>
        <v>0.15518920502070535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Als1bpXJDJHHmSs26M8XhTkNa5EyjzXeBMh0QVfVfWRXLxYoX2nINBVBBEEk5RllbhBbVn2H6w80N+Mm1ycbw==" saltValue="gF0qd+g55imxIKKz/38/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MORON DE LA FRONTERA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0.25</v>
      </c>
      <c r="C10" s="442">
        <f>IF(ISNUMBER(NºAsuntos!I10/NºAsuntos!G10),NºAsuntos!I10/NºAsuntos!G10," - ")</f>
        <v>5.8</v>
      </c>
      <c r="D10" s="443">
        <f>IF(ISNUMBER('Resol  Asuntos'!D10/NºAsuntos!G10),'Resol  Asuntos'!D10/NºAsuntos!G10," - ")</f>
        <v>0.6</v>
      </c>
      <c r="E10" s="444">
        <f>IF(ISNUMBER((NºAsuntos!C10+NºAsuntos!E10)/NºAsuntos!G10),(NºAsuntos!C10+NºAsuntos!E10)/NºAsuntos!G10," - ")</f>
        <v>6.8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0.6211878009630819</v>
      </c>
      <c r="C12" s="442">
        <f>IF(ISNUMBER(NºAsuntos!I12/NºAsuntos!G12),NºAsuntos!I12/NºAsuntos!G12," - ")</f>
        <v>2.7080103359173129</v>
      </c>
      <c r="D12" s="443">
        <f>IF(ISNUMBER('Resol  Asuntos'!D12/NºAsuntos!G12),'Resol  Asuntos'!D12/NºAsuntos!G12," - ")</f>
        <v>0.19982773471145565</v>
      </c>
      <c r="E12" s="444">
        <f>IF(ISNUMBER((NºAsuntos!C12+NºAsuntos!E12)/NºAsuntos!G12),(NºAsuntos!C12+NºAsuntos!E12)/NºAsuntos!G12," - ")</f>
        <v>3.7080103359173129</v>
      </c>
      <c r="G12" s="462"/>
    </row>
    <row r="13" spans="1:7" ht="14.25" thickTop="1" thickBot="1">
      <c r="A13" s="847" t="str">
        <f>Datos!A13</f>
        <v>TOTAL</v>
      </c>
      <c r="B13" s="857">
        <f>IF(ISNUMBER(NºAsuntos!G13/NºAsuntos!E13),NºAsuntos!G13/NºAsuntos!E13," - ")</f>
        <v>0.61725780836421384</v>
      </c>
      <c r="C13" s="858">
        <f>IF(ISNUMBER(NºAsuntos!I13/NºAsuntos!G13),NºAsuntos!I13/NºAsuntos!G13," - ")</f>
        <v>2.7212692967409948</v>
      </c>
      <c r="D13" s="859">
        <f>IF(ISNUMBER('Resol  Asuntos'!D13/NºAsuntos!G13),'Resol  Asuntos'!D13/NºAsuntos!G13," - ")</f>
        <v>0.20154373927958832</v>
      </c>
      <c r="E13" s="860">
        <f>IF(ISNUMBER((NºAsuntos!C13+NºAsuntos!E13)/NºAsuntos!G13),(NºAsuntos!C13+NºAsuntos!E13)/NºAsuntos!G13," - ")</f>
        <v>3.7212692967409948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0.93290190735694822</v>
      </c>
      <c r="C16" s="442">
        <f>IF(ISNUMBER(NºAsuntos!I16/NºAsuntos!G16),NºAsuntos!I16/NºAsuntos!G16," - ")</f>
        <v>0.5188024826579043</v>
      </c>
      <c r="D16" s="443">
        <f>IF(ISNUMBER('Resol  Asuntos'!D16/NºAsuntos!G16),'Resol  Asuntos'!D16/NºAsuntos!G16," - ")</f>
        <v>8.6893026652062791E-2</v>
      </c>
      <c r="E16" s="444">
        <f>IF(ISNUMBER((NºAsuntos!C16+NºAsuntos!E16)/NºAsuntos!G16),(NºAsuntos!C16+NºAsuntos!E16)/NºAsuntos!G16," - ")</f>
        <v>1.5180722891566265</v>
      </c>
      <c r="G16" s="462"/>
    </row>
    <row r="17" spans="1:7" ht="21.75" thickBot="1">
      <c r="A17" s="401" t="str">
        <f>Datos!A17</f>
        <v>Jdos. Violencia contra la mujer/Secc Viol. TI.</v>
      </c>
      <c r="B17" s="441">
        <f>IF(ISNUMBER(NºAsuntos!G17/NºAsuntos!E17),NºAsuntos!G17/NºAsuntos!E17," - ")</f>
        <v>0.89320388349514568</v>
      </c>
      <c r="C17" s="442">
        <f>IF(ISNUMBER(NºAsuntos!I17/NºAsuntos!G17),NºAsuntos!I17/NºAsuntos!G17," - ")</f>
        <v>0.51086956521739135</v>
      </c>
      <c r="D17" s="443">
        <f>IF(ISNUMBER('Resol  Asuntos'!D17/NºAsuntos!G17),'Resol  Asuntos'!D17/NºAsuntos!G17," - ")</f>
        <v>0.14673913043478262</v>
      </c>
      <c r="E17" s="444">
        <f>IF(ISNUMBER((NºAsuntos!C17+NºAsuntos!E17)/NºAsuntos!G17),(NºAsuntos!C17+NºAsuntos!E17)/NºAsuntos!G17," - ")</f>
        <v>1.3478260869565217</v>
      </c>
      <c r="G17" s="462"/>
    </row>
    <row r="18" spans="1:7" ht="14.25" thickTop="1" thickBot="1">
      <c r="A18" s="847" t="str">
        <f>Datos!A18</f>
        <v>TOTAL</v>
      </c>
      <c r="B18" s="857">
        <f>IF(ISNUMBER(NºAsuntos!G18/NºAsuntos!E18),NºAsuntos!G18/NºAsuntos!E18," - ")</f>
        <v>0.93029917250159133</v>
      </c>
      <c r="C18" s="858">
        <f>IF(ISNUMBER(NºAsuntos!I18/NºAsuntos!G18),NºAsuntos!I18/NºAsuntos!G18," - ")</f>
        <v>0.51830311323982214</v>
      </c>
      <c r="D18" s="861">
        <f>IF(ISNUMBER('Resol  Asuntos'!D18/NºAsuntos!G18),'Resol  Asuntos'!D18/NºAsuntos!G18," - ")</f>
        <v>9.0660280533698262E-2</v>
      </c>
      <c r="E18" s="860">
        <f>IF(ISNUMBER((NºAsuntos!C18+NºAsuntos!E18)/NºAsuntos!G18),(NºAsuntos!C18+NºAsuntos!E18)/NºAsuntos!G18," - ")</f>
        <v>1.5073554567225453</v>
      </c>
      <c r="G18" s="462"/>
    </row>
    <row r="19" spans="1:7" ht="15.75" customHeight="1" thickTop="1" thickBot="1">
      <c r="A19" s="792" t="str">
        <f>Datos!A19</f>
        <v>TOTAL JURISDICCIONES</v>
      </c>
      <c r="B19" s="807">
        <f>IF(ISNUMBER(NºAsuntos!G19/NºAsuntos!E19),NºAsuntos!G19/NºAsuntos!E19," - ")</f>
        <v>0.81276088252832435</v>
      </c>
      <c r="C19" s="808">
        <f>IF(ISNUMBER(NºAsuntos!I19/NºAsuntos!G19),NºAsuntos!I19/NºAsuntos!G19," - ")</f>
        <v>1.1464905844949866</v>
      </c>
      <c r="D19" s="809">
        <f>IF(ISNUMBER('Resol  Asuntos'!D19/NºAsuntos!G19),'Resol  Asuntos'!D19/NºAsuntos!G19," - ")</f>
        <v>0.12227928588897041</v>
      </c>
      <c r="E19" s="810">
        <f>IF(ISNUMBER((NºAsuntos!C19+NºAsuntos!E19)/NºAsuntos!G19),(NºAsuntos!C19+NºAsuntos!E19)/NºAsuntos!G19," - ")</f>
        <v>2.1386647101980922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8SzRo5ZRa/yzi2xM0hWrvJkDGptF0hEfiH+L0sUDB3lweVXG8Gv6hp/hxpmsV1QJGJdth4cu9XMpQ2psc/u6Q==" saltValue="6sMZJUkJVtF5aXophr24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MORON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29</v>
      </c>
      <c r="AB10" s="333">
        <f>IF(ISNUMBER(Datos!R10),Datos!R10," - ")</f>
        <v>1</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0.25</v>
      </c>
      <c r="AM10" s="259">
        <f>IF(ISNUMBER(((NºAsuntos!I10/NºAsuntos!G10)*11)/factor_trimestre),((NºAsuntos!I10/NºAsuntos!G10)*11)/factor_trimestre," - ")</f>
        <v>63.8</v>
      </c>
      <c r="AN10" s="243">
        <f>IF(ISNUMBER('Resol  Asuntos'!D10/NºAsuntos!G10),'Resol  Asuntos'!D10/NºAsuntos!G10," - ")</f>
        <v>0.6</v>
      </c>
      <c r="AO10" s="244">
        <f>IF(ISNUMBER((NºAsuntos!C10+NºAsuntos!E10)/NºAsuntos!G10),(NºAsuntos!C10+NºAsuntos!E10)/NºAsuntos!G10," - ")</f>
        <v>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177</v>
      </c>
      <c r="Y12" s="333">
        <f t="shared" si="0"/>
        <v>177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232</v>
      </c>
      <c r="AJ12" s="228" t="str">
        <f>IF(ISNUMBER(Datos!BW12),Datos!BW12," - ")</f>
        <v xml:space="preserve"> - </v>
      </c>
      <c r="AK12" s="227" t="str">
        <f>IF(ISNUMBER(Datos!BX12),Datos!BX12," - ")</f>
        <v xml:space="preserve"> - </v>
      </c>
      <c r="AL12" s="242">
        <f>IF(ISNUMBER(NºAsuntos!G12/NºAsuntos!E12),NºAsuntos!G12/NºAsuntos!E12," - ")</f>
        <v>0.6211878009630819</v>
      </c>
      <c r="AM12" s="259">
        <f>IF(ISNUMBER(((NºAsuntos!I12/NºAsuntos!G12)*11)/factor_trimestre),((NºAsuntos!I12/NºAsuntos!G12)*11)/factor_trimestre," - ")</f>
        <v>29.788113695090441</v>
      </c>
      <c r="AN12" s="243">
        <f>IF(ISNUMBER('Resol  Asuntos'!D12/NºAsuntos!G12),'Resol  Asuntos'!D12/NºAsuntos!G12," - ")</f>
        <v>0.19982773471145565</v>
      </c>
      <c r="AO12" s="244">
        <f>IF(ISNUMBER((NºAsuntos!C12+NºAsuntos!E12)/NºAsuntos!G12),(NºAsuntos!C12+NºAsuntos!E12)/NºAsuntos!G12," - ")</f>
        <v>3.7080103359173129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14</v>
      </c>
      <c r="G13" s="865">
        <f t="shared" si="3"/>
        <v>14</v>
      </c>
      <c r="H13" s="864">
        <f t="shared" si="3"/>
        <v>0</v>
      </c>
      <c r="I13" s="866">
        <f t="shared" si="3"/>
        <v>0</v>
      </c>
      <c r="J13" s="866">
        <f t="shared" si="3"/>
        <v>0</v>
      </c>
      <c r="K13" s="866">
        <f t="shared" si="3"/>
        <v>0</v>
      </c>
      <c r="L13" s="866">
        <f t="shared" si="3"/>
        <v>273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177</v>
      </c>
      <c r="Y13" s="867">
        <f t="shared" si="4"/>
        <v>182</v>
      </c>
      <c r="Z13" s="867">
        <f t="shared" si="4"/>
        <v>0</v>
      </c>
      <c r="AA13" s="867">
        <f t="shared" si="4"/>
        <v>29</v>
      </c>
      <c r="AB13" s="867">
        <f t="shared" si="4"/>
        <v>1830</v>
      </c>
      <c r="AC13" s="867">
        <f t="shared" si="4"/>
        <v>30</v>
      </c>
      <c r="AD13" s="867">
        <f t="shared" si="4"/>
        <v>0</v>
      </c>
      <c r="AE13" s="871">
        <f t="shared" si="4"/>
        <v>0</v>
      </c>
      <c r="AF13" s="864">
        <f t="shared" si="4"/>
        <v>0</v>
      </c>
      <c r="AG13" s="872">
        <f t="shared" si="4"/>
        <v>0</v>
      </c>
      <c r="AH13" s="869">
        <f t="shared" si="4"/>
        <v>0</v>
      </c>
      <c r="AI13" s="864">
        <f t="shared" si="4"/>
        <v>235</v>
      </c>
      <c r="AJ13" s="866">
        <f t="shared" si="4"/>
        <v>0</v>
      </c>
      <c r="AK13" s="869">
        <f>SUBTOTAL(9,AK9:AK12)</f>
        <v>0</v>
      </c>
      <c r="AL13" s="873">
        <f>IF(ISNUMBER(NºAsuntos!G13/NºAsuntos!E13),NºAsuntos!G13/NºAsuntos!E13," - ")</f>
        <v>0.61725780836421384</v>
      </c>
      <c r="AM13" s="873">
        <f>IF(ISNUMBER(((NºAsuntos!I13/NºAsuntos!G13)*11)/factor_trimestre),((NºAsuntos!I13/NºAsuntos!G13)*11)/factor_trimestre," - ")</f>
        <v>29.933962264150942</v>
      </c>
      <c r="AN13" s="874">
        <f>IF(ISNUMBER('Resol  Asuntos'!D13/NºAsuntos!G13),'Resol  Asuntos'!D13/NºAsuntos!G13," - ")</f>
        <v>0.20154373927958832</v>
      </c>
      <c r="AO13" s="875">
        <f>IF(ISNUMBER((NºAsuntos!C13+NºAsuntos!E13)/NºAsuntos!G13),(NºAsuntos!C13+NºAsuntos!E13)/NºAsuntos!G13," - ")</f>
        <v>3.7212692967409948</v>
      </c>
      <c r="AP13" s="876" t="str">
        <f t="shared" si="2"/>
        <v xml:space="preserve"> - </v>
      </c>
      <c r="AQ13" s="876">
        <f>IF(ISNUMBER((H13-W13+K13)/(F13)),(H13-W13+K13)/(F13)," - ")</f>
        <v>-0.35714285714285715</v>
      </c>
      <c r="AR13" s="877">
        <f>IF(ISNUMBER((Datos!P13-Datos!Q13)/(Datos!R13-Datos!P13+Datos!Q13)),(Datos!P13-Datos!Q13)/(Datos!R13-Datos!P13+Datos!Q13)," - ")</f>
        <v>5.536332179930796E-2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1224</v>
      </c>
      <c r="G16" s="332">
        <f>IF(ISNUMBER(IF(D_I="SI",Datos!I16,Datos!I16+Datos!AC16)),IF(D_I="SI",Datos!I16,Datos!I16+Datos!AC16)," - ")</f>
        <v>1222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2739</v>
      </c>
      <c r="X16" s="225">
        <f>IF(ISNUMBER(Datos!Q16),Datos!Q16," - ")</f>
        <v>16</v>
      </c>
      <c r="Y16" s="333">
        <f t="shared" ref="Y16:Y17" si="7">SUM(W16:X16)</f>
        <v>2755</v>
      </c>
      <c r="Z16" s="334" t="str">
        <f>IF(ISNUMBER(Datos!CC16),Datos!CC16," - ")</f>
        <v xml:space="preserve"> - </v>
      </c>
      <c r="AA16" s="331">
        <f>IF(ISNUMBER(IF(D_I="SI",Datos!L16,Datos!L16+Datos!AF16)),IF(D_I="SI",Datos!L16,Datos!L16+Datos!AF16)," - ")</f>
        <v>1421</v>
      </c>
      <c r="AB16" s="333">
        <f>IF(ISNUMBER(Datos!R16),Datos!R16," - ")</f>
        <v>142</v>
      </c>
      <c r="AC16" s="333">
        <f t="shared" si="6"/>
        <v>1563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238</v>
      </c>
      <c r="AJ16" s="230" t="str">
        <f>IF(ISNUMBER(Datos!BW16),Datos!BW16," - ")</f>
        <v xml:space="preserve"> - </v>
      </c>
      <c r="AK16" s="231" t="str">
        <f>IF(ISNUMBER(Datos!BX16),Datos!BX16," - ")</f>
        <v xml:space="preserve"> - </v>
      </c>
      <c r="AL16" s="242">
        <f>IF(ISNUMBER(NºAsuntos!G16/NºAsuntos!E16),NºAsuntos!G16/NºAsuntos!E16," - ")</f>
        <v>0.93290190735694822</v>
      </c>
      <c r="AM16" s="259">
        <f>IF(ISNUMBER(((NºAsuntos!I16/NºAsuntos!G16)*11)/factor_trimestre),((NºAsuntos!I16/NºAsuntos!G16)*11)/factor_trimestre," - ")</f>
        <v>5.7068273092369477</v>
      </c>
      <c r="AN16" s="243">
        <f>IF(ISNUMBER('Resol  Asuntos'!D16/NºAsuntos!G16),'Resol  Asuntos'!D16/NºAsuntos!G16," - ")</f>
        <v>8.6893026652062791E-2</v>
      </c>
      <c r="AO16" s="244">
        <f>IF(ISNUMBER((NºAsuntos!C16+NºAsuntos!E16)/NºAsuntos!G16),(NºAsuntos!C16+NºAsuntos!E16)/NºAsuntos!G16," - ")</f>
        <v>1.5180722891566265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184</v>
      </c>
      <c r="X17" s="225">
        <f>IF(ISNUMBER(Datos!Q17),Datos!Q17," - ")</f>
        <v>2</v>
      </c>
      <c r="Y17" s="333">
        <f t="shared" si="7"/>
        <v>186</v>
      </c>
      <c r="Z17" s="334" t="str">
        <f>IF(ISNUMBER(Datos!CC17),Datos!CC17," - ")</f>
        <v xml:space="preserve"> - </v>
      </c>
      <c r="AA17" s="331">
        <f>IF(ISNUMBER(Datos!L17),Datos!L17,"-")</f>
        <v>94</v>
      </c>
      <c r="AB17" s="333">
        <f>IF(ISNUMBER(Datos!R17),Datos!R17," - ")</f>
        <v>2</v>
      </c>
      <c r="AC17" s="333">
        <f t="shared" si="6"/>
        <v>96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0.89320388349514568</v>
      </c>
      <c r="AM17" s="259">
        <f>IF(ISNUMBER(((NºAsuntos!I17/NºAsuntos!G17)*11)/factor_trimestre),((NºAsuntos!I17/NºAsuntos!G17)*11)/factor_trimestre," - ")</f>
        <v>5.6195652173913047</v>
      </c>
      <c r="AN17" s="243">
        <f>IF(ISNUMBER('Resol  Asuntos'!D17/NºAsuntos!G17),'Resol  Asuntos'!D17/NºAsuntos!G17," - ")</f>
        <v>0.14673913043478262</v>
      </c>
      <c r="AO17" s="244">
        <f>IF(ISNUMBER((NºAsuntos!C17+NºAsuntos!E17)/NºAsuntos!G17),(NºAsuntos!C17+NºAsuntos!E17)/NºAsuntos!G17," - ")</f>
        <v>1.3478260869565217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1224</v>
      </c>
      <c r="G18" s="865">
        <f>SUBTOTAL(9,G15:G17)</f>
        <v>1264</v>
      </c>
      <c r="H18" s="864">
        <f t="shared" ref="H18:O18" si="10">SUBTOTAL(9,H14:H17)</f>
        <v>0</v>
      </c>
      <c r="I18" s="866">
        <f t="shared" si="10"/>
        <v>0</v>
      </c>
      <c r="J18" s="866">
        <f t="shared" si="10"/>
        <v>0</v>
      </c>
      <c r="K18" s="866">
        <f t="shared" si="10"/>
        <v>0</v>
      </c>
      <c r="L18" s="866">
        <f t="shared" si="10"/>
        <v>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2923</v>
      </c>
      <c r="X18" s="866">
        <f t="shared" si="11"/>
        <v>18</v>
      </c>
      <c r="Y18" s="867">
        <f t="shared" si="11"/>
        <v>2941</v>
      </c>
      <c r="Z18" s="867">
        <f t="shared" si="11"/>
        <v>0</v>
      </c>
      <c r="AA18" s="867">
        <f t="shared" si="11"/>
        <v>1515</v>
      </c>
      <c r="AB18" s="867">
        <f t="shared" si="11"/>
        <v>144</v>
      </c>
      <c r="AC18" s="867">
        <f t="shared" si="11"/>
        <v>1659</v>
      </c>
      <c r="AD18" s="867">
        <f t="shared" si="11"/>
        <v>0</v>
      </c>
      <c r="AE18" s="871">
        <f t="shared" si="11"/>
        <v>0</v>
      </c>
      <c r="AF18" s="864">
        <f t="shared" si="11"/>
        <v>0</v>
      </c>
      <c r="AG18" s="872">
        <f t="shared" si="11"/>
        <v>0</v>
      </c>
      <c r="AH18" s="869">
        <f t="shared" si="11"/>
        <v>0</v>
      </c>
      <c r="AI18" s="864">
        <f t="shared" si="11"/>
        <v>265</v>
      </c>
      <c r="AJ18" s="866">
        <f t="shared" si="11"/>
        <v>0</v>
      </c>
      <c r="AK18" s="869">
        <f t="shared" si="11"/>
        <v>0</v>
      </c>
      <c r="AL18" s="873">
        <f>IF(ISNUMBER(NºAsuntos!G18/NºAsuntos!E18),NºAsuntos!G18/NºAsuntos!E18," - ")</f>
        <v>0.93029917250159133</v>
      </c>
      <c r="AM18" s="873">
        <f>IF(ISNUMBER(((NºAsuntos!I18/NºAsuntos!G18)*11)/factor_trimestre),((NºAsuntos!I18/NºAsuntos!G18)*11)/factor_trimestre," - ")</f>
        <v>5.7013342456380434</v>
      </c>
      <c r="AN18" s="874">
        <f>IF(ISNUMBER('Resol  Asuntos'!D18/NºAsuntos!G18),'Resol  Asuntos'!D18/NºAsuntos!G18," - ")</f>
        <v>9.0660280533698262E-2</v>
      </c>
      <c r="AO18" s="875">
        <f>IF(ISNUMBER((NºAsuntos!C18+NºAsuntos!E18)/NºAsuntos!G18),(NºAsuntos!C18+NºAsuntos!E18)/NºAsuntos!G18," - ")</f>
        <v>1.5073554567225453</v>
      </c>
      <c r="AP18" s="876" t="str">
        <f t="shared" si="2"/>
        <v xml:space="preserve"> - </v>
      </c>
      <c r="AQ18" s="876">
        <f>IF(ISNUMBER((H18-W18+K18)/(F18)),(H18-W18+K18)/(F18)," - ")</f>
        <v>-2.3880718954248366</v>
      </c>
      <c r="AR18" s="877">
        <f>IF(ISNUMBER((Datos!P18-Datos!Q18)/(Datos!R18-Datos!P18+Datos!Q18)),(Datos!P18-Datos!Q18)/(Datos!R18-Datos!P18+Datos!Q18)," - ")</f>
        <v>0.33333333333333331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1238</v>
      </c>
      <c r="G19" s="820">
        <f t="shared" si="13"/>
        <v>1278</v>
      </c>
      <c r="H19" s="819">
        <f t="shared" si="13"/>
        <v>0</v>
      </c>
      <c r="I19" s="821">
        <f t="shared" si="13"/>
        <v>0</v>
      </c>
      <c r="J19" s="821">
        <f t="shared" si="13"/>
        <v>0</v>
      </c>
      <c r="K19" s="880">
        <f t="shared" si="13"/>
        <v>0</v>
      </c>
      <c r="L19" s="821">
        <f t="shared" si="13"/>
        <v>327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2928</v>
      </c>
      <c r="X19" s="820">
        <f t="shared" si="14"/>
        <v>195</v>
      </c>
      <c r="Y19" s="827">
        <f t="shared" si="14"/>
        <v>3123</v>
      </c>
      <c r="Z19" s="827">
        <f t="shared" si="14"/>
        <v>0</v>
      </c>
      <c r="AA19" s="827">
        <f t="shared" si="14"/>
        <v>1544</v>
      </c>
      <c r="AB19" s="827">
        <f t="shared" si="14"/>
        <v>1974</v>
      </c>
      <c r="AC19" s="827">
        <f t="shared" si="14"/>
        <v>1689</v>
      </c>
      <c r="AD19" s="827">
        <f t="shared" si="14"/>
        <v>0</v>
      </c>
      <c r="AE19" s="829">
        <f t="shared" si="14"/>
        <v>0</v>
      </c>
      <c r="AF19" s="830">
        <f t="shared" si="14"/>
        <v>0</v>
      </c>
      <c r="AG19" s="831">
        <f t="shared" si="14"/>
        <v>0</v>
      </c>
      <c r="AH19" s="829">
        <f t="shared" si="14"/>
        <v>0</v>
      </c>
      <c r="AI19" s="819">
        <f t="shared" si="14"/>
        <v>500</v>
      </c>
      <c r="AJ19" s="819">
        <f t="shared" si="14"/>
        <v>0</v>
      </c>
      <c r="AK19" s="829">
        <f t="shared" si="14"/>
        <v>0</v>
      </c>
      <c r="AL19" s="883">
        <f>IF(ISNUMBER(NºAsuntos!G19/NºAsuntos!E19),NºAsuntos!G19/NºAsuntos!E19," - ")</f>
        <v>0.81276088252832435</v>
      </c>
      <c r="AM19" s="884">
        <f>IF(ISNUMBER(((NºAsuntos!I19/NºAsuntos!G19)*11)/factor_trimestre),((NºAsuntos!I19/NºAsuntos!G19)*11)/factor_trimestre," - ")</f>
        <v>12.611396429444852</v>
      </c>
      <c r="AN19" s="884">
        <f>IF(ISNUMBER('Resol  Asuntos'!D19/NºAsuntos!G19),'Resol  Asuntos'!D19/NºAsuntos!G19," - ")</f>
        <v>0.12227928588897041</v>
      </c>
      <c r="AO19" s="885">
        <f>IF(ISNUMBER((NºAsuntos!C19+NºAsuntos!E19)/NºAsuntos!G19),(NºAsuntos!C19+NºAsuntos!E19)/NºAsuntos!G19," - ")</f>
        <v>2.1386647101980922</v>
      </c>
      <c r="AP19" s="886" t="str">
        <f t="shared" si="2"/>
        <v xml:space="preserve"> - </v>
      </c>
      <c r="AQ19" s="887">
        <f>IF(OR(ISNUMBER(FIND("01",Criterios!A8,1)),ISNUMBER(FIND("02",Criterios!A8,1)),ISNUMBER(FIND("03",Criterios!A8,1)),ISNUMBER(FIND("04",Criterios!A8,1))),(I19-W19+K19)/(F19-K19),(H19-W19+K19)/(F19-K19))</f>
        <v>-2.3651050080775446</v>
      </c>
      <c r="AR19" s="888">
        <f>IF(ISNUMBER((Datos!P19-Datos!Q19)/(Datos!R19-Datos!P19+Datos!Q19)),(Datos!P19-Datos!Q19)/(Datos!R19-Datos!P19+Datos!Q19)," - ")</f>
        <v>7.1661237785016291E-2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698.59382571944718</v>
      </c>
      <c r="G21" s="252">
        <f>IF(ISNUMBER(STDEV(G8:G18)),STDEV(G8:G18),"-")</f>
        <v>668.30172826351418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1518.3386315311877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118.3125803398213</v>
      </c>
      <c r="AJ21" s="251">
        <f t="shared" si="18"/>
        <v>0</v>
      </c>
      <c r="AK21" s="253">
        <f t="shared" si="18"/>
        <v>0</v>
      </c>
      <c r="AL21" s="248">
        <f t="shared" si="18"/>
        <v>0.26826521152960608</v>
      </c>
      <c r="AM21" s="249">
        <f t="shared" si="18"/>
        <v>23.056851084725672</v>
      </c>
      <c r="AN21" s="249">
        <f t="shared" si="18"/>
        <v>0.19233075239932332</v>
      </c>
      <c r="AO21" s="250">
        <f t="shared" si="18"/>
        <v>2.1239009573438112</v>
      </c>
      <c r="AP21" s="290" t="str">
        <f t="shared" si="18"/>
        <v>-</v>
      </c>
      <c r="AQ21" s="291">
        <f t="shared" si="18"/>
        <v>1.4360836950778608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qQCuyhj4O6c2uk1EcoUAoMe6MPYiJTO76HMjF8GRli1EIE5QJOBOYmj4haqRD7KyBz2eAMm9F78Ia2cG851zw==" saltValue="RVvdU+ptZsUuTmV8YIdD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MORON DE LA FRONTERA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0.42857142857142855</v>
      </c>
      <c r="F10" s="347">
        <f>IF(ISNUMBER((Datos!K10-Datos!U10)/Datos!U10),(Datos!K10-Datos!U10)/Datos!U10," - ")</f>
        <v>-0.58333333333333337</v>
      </c>
      <c r="G10" s="348">
        <f>IF(ISNUMBER((Datos!L10-Datos!V10)/Datos!V10),(Datos!L10-Datos!V10)/Datos!V10," - ")</f>
        <v>1.0714285714285714</v>
      </c>
      <c r="H10" s="229">
        <f>IF(ISNUMBER((Datos!M10-Datos!W10)/Datos!W10),(Datos!M10-Datos!W10)/Datos!W10," - ")</f>
        <v>-0.4</v>
      </c>
      <c r="I10" s="349">
        <f>IF(ISNUMBER((Tasas!C10-Datos!BE10)/Datos!BE10),(Tasas!C10-Datos!BE10)/Datos!BE10," - ")</f>
        <v>3.9714285714285706</v>
      </c>
      <c r="J10" s="348">
        <f>IF(ISNUMBER((Tasas!D10-Datos!BF10)/Datos!BF10),(Tasas!D10-Datos!BF10)/Datos!BF10," - ")</f>
        <v>0.43999999999999989</v>
      </c>
      <c r="K10" s="350">
        <f>IF(ISNUMBER((Tasas!E10-Datos!BG10)/Datos!BG10),(Tasas!E10-Datos!BG10)/Datos!BG10," - ")</f>
        <v>2.1384615384615384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-4.2918454935622317E-3</v>
      </c>
      <c r="I12" s="349">
        <f>IF(ISNUMBER((Tasas!C12-Datos!BE12)/Datos!BE12),(Tasas!C12-Datos!BE12)/Datos!BE12," - ")</f>
        <v>0.70862556909068541</v>
      </c>
      <c r="J12" s="348">
        <f>IF(ISNUMBER((Tasas!D12-Datos!BF12)/Datos!BF12),(Tasas!D12-Datos!BF12)/Datos!BF12," - ")</f>
        <v>-0.42805357867503291</v>
      </c>
      <c r="K12" s="350">
        <f>IF(ISNUMBER((Tasas!E12-Datos!BG12)/Datos!BG12),(Tasas!E12-Datos!BG12)/Datos!BG12," - ")</f>
        <v>0.46471649609481108</v>
      </c>
      <c r="M12" t="e">
        <f>IF(Monitorios="SI",Datos!CE12,0)</f>
        <v>#REF!</v>
      </c>
      <c r="N12" t="e">
        <f>IF(Monitorios="SI",Datos!CF12,0)</f>
        <v>#REF!</v>
      </c>
      <c r="O12" t="e">
        <f>IF(Monitorios="SI",Datos!CG12,0)</f>
        <v>#REF!</v>
      </c>
      <c r="P12" t="e">
        <f>IF(Monitorios="SI",Datos!CH12,0)</f>
        <v>#REF!</v>
      </c>
      <c r="Q12">
        <f>IF(J_V="SI",0,Datos!AG12)</f>
        <v>158</v>
      </c>
      <c r="R12">
        <f>IF(J_V="SI",0,Datos!AH12)</f>
        <v>145</v>
      </c>
      <c r="S12">
        <f>IF(J_V="SI",0,Datos!AI12)</f>
        <v>107</v>
      </c>
      <c r="T12">
        <f>IF(J_V="SI",0,Datos!AJ12)</f>
        <v>185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-1.2605042016806723E-2</v>
      </c>
      <c r="I13" s="356">
        <f>IF(ISNUMBER((Tasas!C13-Datos!BE13)/Datos!BE13),(Tasas!C13-Datos!BE13)/Datos!BE13," - ")</f>
        <v>0.72050862883746969</v>
      </c>
      <c r="J13" s="354">
        <f>IF(ISNUMBER((Tasas!D13-Datos!BF13)/Datos!BF13),(Tasas!D13-Datos!BF13)/Datos!BF13," - ")</f>
        <v>-0.42400137980796626</v>
      </c>
      <c r="K13" s="357">
        <f>IF(ISNUMBER((Tasas!E13-Datos!BG13)/Datos!BG13),(Tasas!E13-Datos!BG13)/Datos!BG13," - ")</f>
        <v>0.47159717657692141</v>
      </c>
      <c r="M13" t="e">
        <f>IF(Monitorios="SI",Datos!CE13,0)</f>
        <v>#REF!</v>
      </c>
      <c r="N13" t="e">
        <f>IF(Monitorios="SI",Datos!CF13,0)</f>
        <v>#REF!</v>
      </c>
      <c r="O13" t="e">
        <f>IF(Monitorios="SI",Datos!CG13,0)</f>
        <v>#REF!</v>
      </c>
      <c r="P13" t="e">
        <f>IF(Monitorios="SI",Datos!CH13,0)</f>
        <v>#REF!</v>
      </c>
      <c r="Q13">
        <f>IF(J_V="SI",0,Datos!AG13)</f>
        <v>158</v>
      </c>
      <c r="R13">
        <f>IF(J_V="SI",0,Datos!AH13)</f>
        <v>145</v>
      </c>
      <c r="S13">
        <f>IF(J_V="SI",0,Datos!AI13)</f>
        <v>107</v>
      </c>
      <c r="T13">
        <f>IF(J_V="SI",0,Datos!AJ13)</f>
        <v>185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0.22690763052208834</v>
      </c>
      <c r="E16" s="347">
        <f>IF(ISNUMBER(
   IF(D_I="SI",(Datos!J16-Datos!T16)/Datos!T16,(Datos!J16+Datos!AD16-(Datos!T16+Datos!AL16))/(Datos!T16+Datos!AL16))
     ),IF(D_I="SI",(Datos!J16-Datos!T16)/Datos!T16,(Datos!J16+Datos!AD16-(Datos!T16+Datos!AL16))/(Datos!T16+Datos!AL16))," - ")</f>
        <v>3.4166960197252551E-2</v>
      </c>
      <c r="F16" s="347">
        <f>IF(ISNUMBER(
   IF(D_I="SI",(Datos!K16-Datos!U16)/Datos!U16,(Datos!K16+Datos!AE16-(Datos!U16+Datos!AM16))/(Datos!U16+Datos!AM16))
     ),IF(D_I="SI",(Datos!K16-Datos!U16)/Datos!U16,(Datos!K16+Datos!AE16-(Datos!U16+Datos!AM16))/(Datos!U16+Datos!AM16))," - ")</f>
        <v>6.6588785046728965E-2</v>
      </c>
      <c r="G16" s="348">
        <f>IF(ISNUMBER(
   IF(D_I="SI",(Datos!L16-Datos!V16)/Datos!V16,(Datos!L16+Datos!AF16-(Datos!V16+Datos!AN16))/(Datos!V16+Datos!AN16))
     ),IF(D_I="SI",(Datos!L16-Datos!V16)/Datos!V16,(Datos!L16+Datos!AF16-(Datos!V16+Datos!AN16))/(Datos!V16+Datos!AN16))," - ")</f>
        <v>0.16284779050736498</v>
      </c>
      <c r="H16" s="229">
        <f>IF(ISNUMBER((Datos!M16-Datos!W16)/Datos!W16),(Datos!M16-Datos!W16)/Datos!W16," - ")</f>
        <v>-0.25624999999999998</v>
      </c>
      <c r="I16" s="349">
        <f>IF(ISNUMBER((Tasas!C16-Datos!BE16)/Datos!BE16),(Tasas!C16-Datos!BE16)/Datos!BE16," - ")</f>
        <v>9.0249407091242365E-2</v>
      </c>
      <c r="J16" s="348">
        <f>IF(ISNUMBER((Tasas!D16-Datos!BF16)/Datos!BF16),(Tasas!D16-Datos!BF16)/Datos!BF16," - ")</f>
        <v>-0.30268346111719613</v>
      </c>
      <c r="K16" s="350">
        <f>IF(ISNUMBER((Tasas!E16-Datos!BG16)/Datos!BG16),(Tasas!E16-Datos!BG16)/Datos!BG16," - ")</f>
        <v>1.6534455946340766E-2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v>
      </c>
      <c r="E17" s="347">
        <f>IF(ISNUMBER(
   IF(D_I="SI",(Datos!J17-Datos!T17)/Datos!T17,(Datos!J17+Datos!AD17-(Datos!T17+Datos!AL17))/(Datos!T17+Datos!AL17))
     ),IF(D_I="SI",(Datos!J17-Datos!T17)/Datos!T17,(Datos!J17+Datos!AD17-(Datos!T17+Datos!AL17))/(Datos!T17+Datos!AL17))," - ")</f>
        <v>9.5744680851063829E-2</v>
      </c>
      <c r="F17" s="347">
        <f>IF(ISNUMBER(
   IF(D_I="SI",(Datos!K17-Datos!U17)/Datos!U17,(Datos!K17+Datos!AE17-(Datos!U17+Datos!AM17))/(Datos!U17+Datos!AM17))
     ),IF(D_I="SI",(Datos!K17-Datos!U17)/Datos!U17,(Datos!K17+Datos!AE17-(Datos!U17+Datos!AM17))/(Datos!U17+Datos!AM17))," - ")</f>
        <v>-8.9108910891089105E-2</v>
      </c>
      <c r="G17" s="348">
        <f>IF(ISNUMBER(
   IF(D_I="SI",(Datos!L17-Datos!V17)/Datos!V17,(Datos!L17+Datos!AF17-(Datos!V17+Datos!AN17))/(Datos!V17+Datos!AN17))
     ),IF(D_I="SI",(Datos!L17-Datos!V17)/Datos!V17,(Datos!L17+Datos!AF17-(Datos!V17+Datos!AN17))/(Datos!V17+Datos!AN17))," - ")</f>
        <v>1.2380952380952381</v>
      </c>
      <c r="H17" s="229">
        <f>IF(ISNUMBER((Datos!M17-Datos!W17)/Datos!W17),(Datos!M17-Datos!W17)/Datos!W17," - ")</f>
        <v>-0.15625</v>
      </c>
      <c r="I17" s="349">
        <f>IF(ISNUMBER((Tasas!C17-Datos!BE17)/Datos!BE17),(Tasas!C17-Datos!BE17)/Datos!BE17," - ")</f>
        <v>1.4570393374741206</v>
      </c>
      <c r="J17" s="348">
        <f>IF(ISNUMBER((Tasas!D17-Datos!BF17)/Datos!BF17),(Tasas!D17-Datos!BF17)/Datos!BF17," - ")</f>
        <v>-7.3709239130434714E-2</v>
      </c>
      <c r="K17" s="350">
        <f>IF(ISNUMBER((Tasas!E17-Datos!BG17)/Datos!BG17),(Tasas!E17-Datos!BG17)/Datos!BG17," - ")</f>
        <v>0.11582323592302213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0.20152091254752852</v>
      </c>
      <c r="E18" s="353">
        <f>IF(ISNUMBER(
   IF(D_I="SI",(Datos!J18-Datos!T18)/Datos!T18,(Datos!J18+Datos!AD18-(Datos!T18+Datos!AL18))/(Datos!T18+Datos!AL18))
     ),IF(D_I="SI",(Datos!J18-Datos!T18)/Datos!T18,(Datos!J18+Datos!AD18-(Datos!T18+Datos!AL18))/(Datos!T18+Datos!AL18))," - ")</f>
        <v>3.799141063759498E-2</v>
      </c>
      <c r="F18" s="353">
        <f>IF(ISNUMBER(
   IF(D_I="SI",(Datos!K18-Datos!U18)/Datos!U18,(Datos!K18+Datos!AE18-(Datos!U18+Datos!AM18))/(Datos!U18+Datos!AM18))
     ),IF(D_I="SI",(Datos!K18-Datos!U18)/Datos!U18,(Datos!K18+Datos!AE18-(Datos!U18+Datos!AM18))/(Datos!U18+Datos!AM18))," - ")</f>
        <v>5.5234657039711192E-2</v>
      </c>
      <c r="G18" s="354">
        <f>IF(ISNUMBER(
   IF(D_I="SI",(Datos!L18-Datos!V18)/Datos!V18,(Datos!L18+Datos!AF18-(Datos!V18+Datos!AN18))/(Datos!V18+Datos!AN18))
     ),IF(D_I="SI",(Datos!L18-Datos!V18)/Datos!V18,(Datos!L18+Datos!AF18-(Datos!V18+Datos!AN18))/(Datos!V18+Datos!AN18))," - ")</f>
        <v>0.19857594936708861</v>
      </c>
      <c r="H18" s="355">
        <f>IF(ISNUMBER((Datos!M18-Datos!W18)/Datos!W18),(Datos!M18-Datos!W18)/Datos!W18," - ")</f>
        <v>-0.24715909090909091</v>
      </c>
      <c r="I18" s="356">
        <f>IF(ISNUMBER((Tasas!C18-Datos!BE18)/Datos!BE18),(Tasas!C18-Datos!BE18)/Datos!BE18," - ")</f>
        <v>0.13583830986891407</v>
      </c>
      <c r="J18" s="354">
        <f>IF(ISNUMBER((Tasas!D18-Datos!BF18)/Datos!BF18),(Tasas!D18-Datos!BF18)/Datos!BF18," - ")</f>
        <v>-0.2865654060274313</v>
      </c>
      <c r="K18" s="357">
        <f>IF(ISNUMBER((Tasas!E18-Datos!BG18)/Datos!BG18),(Tasas!E18-Datos!BG18)/Datos!BG18," - ")</f>
        <v>2.3627020132740977E-2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0.23061630218687873</v>
      </c>
      <c r="E19" s="362">
        <f>IF(ISNUMBER(
   IF(J_V="SI",(Datos!J19-Datos!T19)/Datos!T19,(Datos!J19+Datos!Z19-(Datos!T19+Datos!AH19))/(Datos!T19+Datos!AH19))
     ),IF(J_V="SI",(Datos!J19-Datos!T19)/Datos!T19,(Datos!J19+Datos!Z19-(Datos!T19+Datos!AH19))/(Datos!T19+Datos!AH19))," - ")</f>
        <v>1.064684612294094E-2</v>
      </c>
      <c r="F19" s="362">
        <f>IF(ISNUMBER(
   IF(J_V="SI",(Datos!K19-Datos!U19)/Datos!U19,(Datos!K19+Datos!AA19-(Datos!U19+Datos!AI19))/(Datos!U19+Datos!AI19))
     ),IF(J_V="SI",(Datos!K19-Datos!U19)/Datos!U19,(Datos!K19+Datos!AA19-(Datos!U19+Datos!AI19))/(Datos!U19+Datos!AI19))," - ")</f>
        <v>-5.3253067839777728E-2</v>
      </c>
      <c r="G19" s="363">
        <f>IF(ISNUMBER(
   IF(J_V="SI",(Datos!L19-Datos!V19)/Datos!V19,(Datos!L19+Datos!AB19-(Datos!V19+Datos!AJ19))/(Datos!V19+Datos!AJ19))
     ),IF(J_V="SI",(Datos!L19-Datos!V19)/Datos!V19,(Datos!L19+Datos!AB19-(Datos!V19+Datos!AJ19))/(Datos!V19+Datos!AJ19))," - ")</f>
        <v>0.26225094238018309</v>
      </c>
      <c r="H19" s="364">
        <f>IF(ISNUMBER((Datos!M19-Datos!W19)/Datos!W19),(Datos!M19-Datos!W19)/Datos!W19," - ")</f>
        <v>-0.15254237288135594</v>
      </c>
      <c r="I19" s="361">
        <f>IF(ISNUMBER((Tasas!C19-Datos!BE19)/Datos!BE19),(Tasas!C19-Datos!BE19)/Datos!BE19," - ")</f>
        <v>0.33325062854977039</v>
      </c>
      <c r="J19" s="362">
        <f>IF(ISNUMBER((Tasas!D19-Datos!BF19)/Datos!BF19),(Tasas!D19-Datos!BF19)/Datos!BF19," - ")</f>
        <v>-0.40925700698605899</v>
      </c>
      <c r="K19" s="363">
        <f>IF(ISNUMBER((Tasas!E19-Datos!BG19)/Datos!BG19),(Tasas!E19-Datos!BG19)/Datos!BG19," - ")</f>
        <v>0.15518920502070535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0.22553850581455234</v>
      </c>
      <c r="E21" s="277">
        <f t="shared" si="1"/>
        <v>0.18841955874308466</v>
      </c>
      <c r="F21" s="277">
        <f t="shared" si="1"/>
        <v>0.30545476647849801</v>
      </c>
      <c r="G21" s="278">
        <f t="shared" si="1"/>
        <v>0.56665704204530354</v>
      </c>
      <c r="H21" s="284">
        <f t="shared" si="1"/>
        <v>0.15374063817300504</v>
      </c>
      <c r="I21" s="276">
        <f t="shared" si="1"/>
        <v>1.4546462222088832</v>
      </c>
      <c r="J21" s="277">
        <f t="shared" si="1"/>
        <v>0.32959619219914577</v>
      </c>
      <c r="K21" s="278">
        <f t="shared" si="1"/>
        <v>0.81067808279831743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8dFd+LnIlMx3lBHvcC7+K4p2TiYP7m6/L4UuTmN69IBkzEOzGZWcKW8LcECytUiS6TYHWFt2yvGM/wQsuxI8g==" saltValue="cp7niyB6ovwmRFhaMpRp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